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mran\programs\برنامه های اکسل خودم\"/>
    </mc:Choice>
  </mc:AlternateContent>
  <bookViews>
    <workbookView xWindow="0" yWindow="0" windowWidth="20490" windowHeight="7905"/>
  </bookViews>
  <sheets>
    <sheet name="بار محوری تنها" sheetId="1" r:id="rId1"/>
    <sheet name="بار محوری خارج از مرکز و خمش" sheetId="2" r:id="rId2"/>
  </sheets>
  <definedNames>
    <definedName name="Fnv">'بار محوری تنها'!#REF!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83" i="2" l="1"/>
  <c r="AO82" i="2"/>
  <c r="AI82" i="2"/>
  <c r="AI81" i="2"/>
  <c r="AJ79" i="2"/>
  <c r="AM79" i="2"/>
  <c r="Q83" i="2"/>
  <c r="Q84" i="2"/>
  <c r="K83" i="2"/>
  <c r="K82" i="2"/>
  <c r="AQ84" i="2"/>
  <c r="AO81" i="2"/>
  <c r="AO80" i="2"/>
  <c r="AI80" i="2"/>
  <c r="O80" i="2"/>
  <c r="L80" i="2"/>
  <c r="S85" i="2"/>
  <c r="Q82" i="2"/>
  <c r="Q81" i="2"/>
  <c r="K81" i="2"/>
  <c r="N81" i="1"/>
  <c r="L80" i="1"/>
  <c r="L79" i="1"/>
  <c r="L78" i="1"/>
  <c r="L77" i="1"/>
  <c r="F79" i="1"/>
  <c r="F78" i="1"/>
  <c r="F77" i="1"/>
  <c r="J76" i="1"/>
  <c r="G76" i="1"/>
  <c r="AO78" i="2" l="1"/>
  <c r="AL78" i="2"/>
  <c r="AG79" i="2"/>
  <c r="I80" i="2"/>
  <c r="Q79" i="2"/>
  <c r="S79" i="2" s="1"/>
  <c r="N79" i="2"/>
  <c r="I75" i="1" l="1"/>
  <c r="L75" i="1"/>
  <c r="D76" i="1"/>
  <c r="N75" i="1"/>
  <c r="Y26" i="2" l="1"/>
  <c r="AN50" i="2"/>
  <c r="AI48" i="2"/>
  <c r="AQ52" i="2" s="1"/>
  <c r="AK57" i="2"/>
  <c r="AO56" i="2"/>
  <c r="AN61" i="2"/>
  <c r="AK63" i="2" s="1"/>
  <c r="Y45" i="2"/>
  <c r="J45" i="2"/>
  <c r="AR51" i="2" l="1"/>
  <c r="AQ51" i="2"/>
  <c r="J26" i="2"/>
  <c r="J28" i="2" s="1"/>
  <c r="K46" i="1" l="1"/>
  <c r="U61" i="2" l="1"/>
  <c r="U62" i="2"/>
  <c r="AG50" i="2" l="1"/>
  <c r="AO49" i="2" s="1"/>
  <c r="T43" i="2"/>
  <c r="AB47" i="2" s="1"/>
  <c r="E43" i="2"/>
  <c r="M47" i="2" s="1"/>
  <c r="F44" i="1"/>
  <c r="V47" i="1" l="1"/>
  <c r="X46" i="1" s="1"/>
  <c r="AB46" i="2"/>
  <c r="AC46" i="2"/>
  <c r="N46" i="2"/>
  <c r="M46" i="2"/>
  <c r="R45" i="2"/>
  <c r="T45" i="2" s="1"/>
  <c r="AK50" i="2"/>
  <c r="D46" i="1"/>
  <c r="F46" i="1" s="1"/>
  <c r="C45" i="2"/>
  <c r="G45" i="2" s="1"/>
  <c r="AI50" i="2"/>
  <c r="E45" i="2"/>
  <c r="AK44" i="2"/>
  <c r="AO40" i="2"/>
  <c r="AJ40" i="2"/>
  <c r="V39" i="2"/>
  <c r="Z35" i="2"/>
  <c r="U35" i="2"/>
  <c r="N76" i="2"/>
  <c r="N75" i="2"/>
  <c r="N74" i="2"/>
  <c r="N73" i="2"/>
  <c r="G39" i="2"/>
  <c r="K35" i="2"/>
  <c r="F35" i="2"/>
  <c r="M45" i="1" l="1"/>
  <c r="Z44" i="2"/>
  <c r="K44" i="2"/>
  <c r="V45" i="2"/>
  <c r="H46" i="1"/>
  <c r="N60" i="2"/>
  <c r="L60" i="2"/>
  <c r="AL61" i="2"/>
  <c r="AK68" i="2" s="1"/>
  <c r="AQ78" i="2"/>
  <c r="W63" i="2"/>
  <c r="W62" i="2"/>
  <c r="W61" i="2"/>
  <c r="W60" i="2"/>
  <c r="W59" i="2"/>
  <c r="U63" i="2"/>
  <c r="U60" i="2"/>
  <c r="U59" i="2"/>
  <c r="AP68" i="2" l="1"/>
  <c r="AK71" i="2"/>
  <c r="AP71" i="2"/>
  <c r="AM74" i="2"/>
  <c r="AP74" i="2" s="1"/>
  <c r="AM75" i="2"/>
  <c r="AP75" i="2" s="1"/>
  <c r="AK65" i="2"/>
  <c r="AN33" i="2"/>
  <c r="AM43" i="2" s="1"/>
  <c r="X38" i="2"/>
  <c r="AP65" i="2" l="1"/>
  <c r="AK64" i="2"/>
  <c r="AP63" i="2"/>
  <c r="AP64" i="2" s="1"/>
  <c r="I38" i="2"/>
  <c r="Y28" i="2"/>
  <c r="L36" i="1"/>
  <c r="H39" i="1" l="1"/>
  <c r="G36" i="1"/>
  <c r="F47" i="1" l="1"/>
  <c r="J45" i="1" s="1"/>
  <c r="D47" i="1"/>
  <c r="F48" i="1" s="1"/>
  <c r="H40" i="1"/>
  <c r="F49" i="1" l="1"/>
  <c r="L47" i="1"/>
  <c r="I24" i="1"/>
  <c r="J39" i="1" s="1"/>
  <c r="E40" i="1" s="1"/>
  <c r="H72" i="1"/>
  <c r="H71" i="1"/>
  <c r="I26" i="1" l="1"/>
  <c r="J20" i="1"/>
  <c r="I20" i="1" s="1"/>
  <c r="K7" i="2"/>
  <c r="J9" i="2" s="1"/>
  <c r="AG28" i="2" l="1"/>
  <c r="D8" i="2"/>
  <c r="D17" i="1" l="1"/>
  <c r="AI28" i="2" l="1"/>
  <c r="J67" i="2" l="1"/>
  <c r="G58" i="1" l="1"/>
  <c r="P69" i="1"/>
  <c r="P68" i="1"/>
  <c r="P67" i="1"/>
  <c r="P66" i="1"/>
  <c r="P65" i="1"/>
  <c r="G15" i="2" l="1"/>
  <c r="T25" i="2" s="1"/>
  <c r="V25" i="2" s="1"/>
  <c r="W26" i="2" s="1"/>
  <c r="U27" i="2" s="1"/>
  <c r="K8" i="2"/>
  <c r="P60" i="2"/>
  <c r="D10" i="2"/>
  <c r="D9" i="2"/>
  <c r="W27" i="2" s="1"/>
  <c r="Y27" i="2" l="1"/>
  <c r="D22" i="2"/>
  <c r="H26" i="2"/>
  <c r="J27" i="2" s="1"/>
  <c r="AK28" i="2"/>
  <c r="Q75" i="2"/>
  <c r="Q76" i="2"/>
  <c r="L62" i="2"/>
  <c r="L63" i="2" s="1"/>
  <c r="Q70" i="2"/>
  <c r="Q71" i="2" s="1"/>
  <c r="Q64" i="2"/>
  <c r="Q65" i="2" s="1"/>
  <c r="Q67" i="2"/>
  <c r="L64" i="2"/>
  <c r="L65" i="2" s="1"/>
  <c r="L68" i="2"/>
  <c r="L69" i="2" s="1"/>
  <c r="L67" i="2"/>
  <c r="L70" i="2" s="1"/>
  <c r="L71" i="2" s="1"/>
  <c r="Q73" i="2"/>
  <c r="Q74" i="2"/>
  <c r="D20" i="2"/>
  <c r="D21" i="2"/>
  <c r="Q62" i="2"/>
  <c r="Q63" i="2" s="1"/>
  <c r="H27" i="2" l="1"/>
  <c r="F27" i="2"/>
  <c r="H28" i="2"/>
  <c r="R35" i="2"/>
  <c r="G38" i="2"/>
  <c r="C35" i="2"/>
  <c r="AG33" i="2"/>
  <c r="AG40" i="2" s="1"/>
  <c r="AI33" i="2"/>
  <c r="AG56" i="2" s="1"/>
  <c r="AJ61" i="2" s="1"/>
  <c r="AM28" i="2"/>
  <c r="AO28" i="2"/>
  <c r="AG29" i="2" s="1"/>
  <c r="W28" i="2"/>
  <c r="U29" i="2" s="1"/>
  <c r="O67" i="2"/>
  <c r="Q68" i="2" s="1"/>
  <c r="Q69" i="2" s="1"/>
  <c r="G26" i="1"/>
  <c r="E27" i="1" s="1"/>
  <c r="F29" i="2" l="1"/>
  <c r="H29" i="2"/>
  <c r="J29" i="2"/>
  <c r="E46" i="2"/>
  <c r="C46" i="2"/>
  <c r="E47" i="2" s="1"/>
  <c r="D39" i="2"/>
  <c r="K37" i="2"/>
  <c r="C36" i="2"/>
  <c r="M37" i="2"/>
  <c r="F36" i="2"/>
  <c r="AB37" i="2"/>
  <c r="V38" i="2"/>
  <c r="T46" i="2" s="1"/>
  <c r="Z37" i="2"/>
  <c r="R36" i="2"/>
  <c r="U36" i="2"/>
  <c r="AJ41" i="2"/>
  <c r="AO42" i="2"/>
  <c r="AK43" i="2"/>
  <c r="AI51" i="2" s="1"/>
  <c r="AG41" i="2"/>
  <c r="AQ42" i="2"/>
  <c r="AI32" i="2"/>
  <c r="AN68" i="2"/>
  <c r="AP69" i="2" s="1"/>
  <c r="AP70" i="2" s="1"/>
  <c r="AP33" i="2"/>
  <c r="AJ34" i="2"/>
  <c r="AH34" i="2"/>
  <c r="AO34" i="2"/>
  <c r="AM34" i="2"/>
  <c r="W29" i="2"/>
  <c r="Y29" i="2"/>
  <c r="I58" i="1"/>
  <c r="K58" i="1"/>
  <c r="E65" i="1" s="1"/>
  <c r="G66" i="1" s="1"/>
  <c r="R69" i="1"/>
  <c r="R68" i="1"/>
  <c r="R67" i="1"/>
  <c r="R66" i="1"/>
  <c r="R65" i="1"/>
  <c r="G65" i="1" l="1"/>
  <c r="G68" i="1" s="1"/>
  <c r="G69" i="1" s="1"/>
  <c r="AI53" i="2"/>
  <c r="AM49" i="2"/>
  <c r="AO51" i="2" s="1"/>
  <c r="T48" i="2"/>
  <c r="X44" i="2"/>
  <c r="Z46" i="2" s="1"/>
  <c r="E48" i="2"/>
  <c r="I44" i="2"/>
  <c r="K46" i="2" s="1"/>
  <c r="H30" i="2"/>
  <c r="R46" i="2"/>
  <c r="T47" i="2" s="1"/>
  <c r="S39" i="2"/>
  <c r="W30" i="2"/>
  <c r="AP66" i="2"/>
  <c r="AK72" i="2"/>
  <c r="AI68" i="2"/>
  <c r="AK69" i="2" s="1"/>
  <c r="AK70" i="2" s="1"/>
  <c r="AP72" i="2"/>
  <c r="AK66" i="2"/>
  <c r="AG51" i="2"/>
  <c r="AI52" i="2" s="1"/>
  <c r="AH44" i="2"/>
  <c r="AJ35" i="2"/>
  <c r="L71" i="1"/>
  <c r="G67" i="1"/>
  <c r="L72" i="1"/>
  <c r="L65" i="1"/>
  <c r="L68" i="1"/>
  <c r="L69" i="1" s="1"/>
  <c r="L62" i="1"/>
  <c r="L63" i="1" s="1"/>
  <c r="G62" i="1"/>
  <c r="G63" i="1" s="1"/>
  <c r="L60" i="1"/>
  <c r="L61" i="1" s="1"/>
  <c r="G60" i="1"/>
  <c r="G61" i="1" s="1"/>
  <c r="W46" i="1" l="1"/>
  <c r="J65" i="1"/>
  <c r="L66" i="1" s="1"/>
  <c r="L67" i="1" s="1"/>
  <c r="G24" i="1"/>
  <c r="D19" i="1"/>
  <c r="D18" i="1"/>
  <c r="E25" i="1" l="1"/>
  <c r="D36" i="1"/>
  <c r="D37" i="1" s="1"/>
  <c r="I27" i="1"/>
  <c r="G27" i="1"/>
  <c r="I25" i="1"/>
  <c r="G25" i="1"/>
  <c r="K17" i="1"/>
  <c r="L38" i="1" l="1"/>
  <c r="G37" i="1"/>
  <c r="N38" i="1"/>
  <c r="G28" i="1"/>
</calcChain>
</file>

<file path=xl/comments1.xml><?xml version="1.0" encoding="utf-8"?>
<comments xmlns="http://schemas.openxmlformats.org/spreadsheetml/2006/main">
  <authors>
    <author>sahargahan</author>
  </authors>
  <commentList>
    <comment ref="C12" authorId="0" shapeId="0">
      <text>
        <r>
          <rPr>
            <b/>
            <sz val="9"/>
            <color indexed="81"/>
            <rFont val="Tahoma"/>
            <family val="2"/>
          </rPr>
          <t>مقاومت استوانه ای بتن</t>
        </r>
      </text>
    </comment>
    <comment ref="E12" authorId="0" shapeId="0">
      <text>
        <r>
          <rPr>
            <b/>
            <sz val="9"/>
            <color indexed="81"/>
            <rFont val="Tahoma"/>
            <family val="2"/>
          </rPr>
          <t>نیروی محوری ستون
(ضریب دار)</t>
        </r>
      </text>
    </comment>
    <comment ref="G12" authorId="0" shapeId="0">
      <text>
        <r>
          <rPr>
            <b/>
            <sz val="9"/>
            <color indexed="81"/>
            <rFont val="Tahoma"/>
            <family val="2"/>
          </rPr>
          <t>ضریب کاهش مقاومت
بند10-2-9-8 مبحث10</t>
        </r>
      </text>
    </comment>
    <comment ref="C13" authorId="0" shapeId="0">
      <text>
        <r>
          <rPr>
            <b/>
            <sz val="9"/>
            <color indexed="81"/>
            <rFont val="Tahoma"/>
            <family val="2"/>
          </rPr>
          <t>تنش تسلیم فولاد</t>
        </r>
      </text>
    </comment>
    <comment ref="E13" authorId="0" shapeId="0">
      <text>
        <r>
          <rPr>
            <b/>
            <sz val="9"/>
            <color indexed="81"/>
            <rFont val="Tahoma"/>
            <family val="2"/>
          </rPr>
          <t xml:space="preserve">سطح شالوده
(درصورت معلوم نبودن اطلاعات سطح شالوده مقدار را برابر </t>
        </r>
        <r>
          <rPr>
            <b/>
            <u/>
            <sz val="9"/>
            <color indexed="81"/>
            <rFont val="Tahoma"/>
            <family val="2"/>
          </rPr>
          <t>B*D</t>
        </r>
        <r>
          <rPr>
            <b/>
            <sz val="9"/>
            <color indexed="81"/>
            <rFont val="Tahoma"/>
            <family val="2"/>
          </rPr>
          <t xml:space="preserve"> قرار دهید)</t>
        </r>
      </text>
    </comment>
    <comment ref="G13" authorId="0" shapeId="0">
      <text>
        <r>
          <rPr>
            <b/>
            <sz val="9"/>
            <color indexed="81"/>
            <rFont val="Tahoma"/>
            <family val="2"/>
          </rPr>
          <t>ضریب کاهش مقاومت برشی
بند10-2-6-1 مبحث10</t>
        </r>
        <r>
          <rPr>
            <sz val="9"/>
            <color indexed="81"/>
            <rFont val="Tahoma"/>
            <family val="2"/>
          </rPr>
          <t xml:space="preserve">
</t>
        </r>
      </text>
    </comment>
    <comment ref="C14" authorId="0" shapeId="0">
      <text>
        <r>
          <rPr>
            <b/>
            <sz val="9"/>
            <color indexed="81"/>
            <rFont val="Tahoma"/>
            <family val="2"/>
          </rPr>
          <t>تنش نهایی فولاد</t>
        </r>
      </text>
    </comment>
    <comment ref="G14" authorId="0" shapeId="0">
      <text>
        <r>
          <rPr>
            <b/>
            <sz val="9"/>
            <color indexed="81"/>
            <rFont val="Tahoma"/>
            <family val="2"/>
          </rPr>
          <t>ضریب کاهش مقاومت خمشی
بند10-2-5-1 مبحث10</t>
        </r>
      </text>
    </comment>
    <comment ref="C17" authorId="0" shapeId="0">
      <text>
        <r>
          <rPr>
            <b/>
            <sz val="9"/>
            <color indexed="81"/>
            <rFont val="Tahoma"/>
            <family val="2"/>
          </rPr>
          <t>سطح مورد نیاز کف ستون</t>
        </r>
      </text>
    </comment>
    <comment ref="F24" authorId="0" shapeId="0">
      <text>
        <r>
          <rPr>
            <b/>
            <sz val="9"/>
            <color indexed="81"/>
            <rFont val="Tahoma"/>
            <family val="2"/>
          </rPr>
          <t>تنش موجود در زیر کف ستون</t>
        </r>
      </text>
    </comment>
    <comment ref="H24" authorId="0" shapeId="0">
      <text>
        <r>
          <rPr>
            <b/>
            <sz val="9"/>
            <color indexed="81"/>
            <rFont val="Tahoma"/>
            <family val="2"/>
          </rPr>
          <t>تنش مجاز در زیر کف ستون</t>
        </r>
        <r>
          <rPr>
            <sz val="9"/>
            <color indexed="81"/>
            <rFont val="Tahoma"/>
            <family val="2"/>
          </rPr>
          <t xml:space="preserve">
</t>
        </r>
      </text>
    </comment>
    <comment ref="F26" authorId="0" shapeId="0">
      <text>
        <r>
          <rPr>
            <b/>
            <sz val="9"/>
            <color indexed="81"/>
            <rFont val="Tahoma"/>
            <family val="2"/>
          </rPr>
          <t>تنش موجود در زیر کف ستون</t>
        </r>
      </text>
    </comment>
    <comment ref="H26" authorId="0" shapeId="0">
      <text>
        <r>
          <rPr>
            <b/>
            <sz val="9"/>
            <color indexed="81"/>
            <rFont val="Tahoma"/>
            <family val="2"/>
          </rPr>
          <t>تنش مجاز در زیر کف ستون</t>
        </r>
        <r>
          <rPr>
            <sz val="9"/>
            <color indexed="81"/>
            <rFont val="Tahoma"/>
            <family val="2"/>
          </rPr>
          <t xml:space="preserve">
</t>
        </r>
      </text>
    </comment>
    <comment ref="H28" authorId="0" shapeId="0">
      <text>
        <r>
          <rPr>
            <b/>
            <sz val="9"/>
            <color indexed="81"/>
            <rFont val="Tahoma"/>
          </rPr>
          <t>ضخامت نهایی انتخاب شده را وارد کنید</t>
        </r>
      </text>
    </comment>
    <comment ref="C35" authorId="0" shapeId="0">
      <text>
        <r>
          <rPr>
            <b/>
            <sz val="9"/>
            <color indexed="81"/>
            <rFont val="Tahoma"/>
            <family val="2"/>
          </rPr>
          <t xml:space="preserve">عرض ناحیه طره ای
به شکل دقت شود
</t>
        </r>
      </text>
    </comment>
    <comment ref="F35" authorId="0" shapeId="0">
      <text>
        <r>
          <rPr>
            <b/>
            <sz val="9"/>
            <color indexed="81"/>
            <rFont val="Tahoma"/>
            <family val="2"/>
          </rPr>
          <t>طول عمود بر لبه آزاد ورق 
به شکل دقت شود</t>
        </r>
      </text>
    </comment>
    <comment ref="H35" authorId="0" shapeId="0">
      <text>
        <r>
          <rPr>
            <b/>
            <sz val="9"/>
            <color indexed="81"/>
            <rFont val="Tahoma"/>
            <family val="2"/>
          </rPr>
          <t>طول لبه آزاد ورق 
به شکل دقت شود</t>
        </r>
      </text>
    </comment>
    <comment ref="K35" authorId="0" shapeId="0">
      <text>
        <r>
          <rPr>
            <b/>
            <sz val="9"/>
            <color indexed="81"/>
            <rFont val="Tahoma"/>
            <family val="2"/>
          </rPr>
          <t>طول ضلع بزرگتر ورق 
به شکل دقت شود</t>
        </r>
        <r>
          <rPr>
            <sz val="9"/>
            <color indexed="81"/>
            <rFont val="Tahoma"/>
            <family val="2"/>
          </rPr>
          <t xml:space="preserve">
</t>
        </r>
      </text>
    </comment>
    <comment ref="M35" authorId="0" shapeId="0">
      <text>
        <r>
          <rPr>
            <b/>
            <sz val="9"/>
            <color indexed="81"/>
            <rFont val="Tahoma"/>
            <family val="2"/>
          </rPr>
          <t>طول ضلع کوچکتر ورق 
به شکل دقت شود</t>
        </r>
        <r>
          <rPr>
            <sz val="9"/>
            <color indexed="81"/>
            <rFont val="Tahoma"/>
            <family val="2"/>
          </rPr>
          <t xml:space="preserve">
</t>
        </r>
      </text>
    </comment>
    <comment ref="C37" authorId="0" shapeId="0">
      <text>
        <r>
          <rPr>
            <b/>
            <sz val="9"/>
            <color indexed="81"/>
            <rFont val="Tahoma"/>
          </rPr>
          <t>لنگر حداکثر در طول واحد</t>
        </r>
      </text>
    </comment>
    <comment ref="K38" authorId="0" shapeId="0">
      <text>
        <r>
          <rPr>
            <b/>
            <sz val="9"/>
            <color indexed="81"/>
            <rFont val="Tahoma"/>
            <family val="2"/>
          </rPr>
          <t>لنگر برای نواری به عرض1سانتی متر به موازات ضلعa</t>
        </r>
      </text>
    </comment>
    <comment ref="M38" authorId="0" shapeId="0">
      <text>
        <r>
          <rPr>
            <b/>
            <sz val="9"/>
            <color indexed="81"/>
            <rFont val="Tahoma"/>
            <family val="2"/>
          </rPr>
          <t>لنگر برای نواری به عرض1سانتی متر به موازات ضلعb</t>
        </r>
        <r>
          <rPr>
            <sz val="9"/>
            <color indexed="81"/>
            <rFont val="Tahoma"/>
            <family val="2"/>
          </rPr>
          <t xml:space="preserve">
</t>
        </r>
      </text>
    </comment>
    <comment ref="C39" authorId="0" shapeId="0">
      <text>
        <r>
          <rPr>
            <b/>
            <sz val="9"/>
            <color indexed="81"/>
            <rFont val="Tahoma"/>
          </rPr>
          <t>بیشترین لنگر بدست آمده از نواحی مختلف</t>
        </r>
      </text>
    </comment>
    <comment ref="G39" authorId="0" shapeId="0">
      <text>
        <r>
          <rPr>
            <b/>
            <sz val="9"/>
            <color indexed="81"/>
            <rFont val="Tahoma"/>
            <family val="2"/>
          </rPr>
          <t>تنش موجود در زیر کف ستون</t>
        </r>
      </text>
    </comment>
    <comment ref="I39" authorId="0" shapeId="0">
      <text>
        <r>
          <rPr>
            <b/>
            <sz val="9"/>
            <color indexed="81"/>
            <rFont val="Tahoma"/>
            <family val="2"/>
          </rPr>
          <t>تنش مجاز در زیر کف ستون</t>
        </r>
        <r>
          <rPr>
            <sz val="9"/>
            <color indexed="81"/>
            <rFont val="Tahoma"/>
            <family val="2"/>
          </rPr>
          <t xml:space="preserve">
</t>
        </r>
      </text>
    </comment>
    <comment ref="I40" authorId="0" shapeId="0">
      <text>
        <r>
          <rPr>
            <b/>
            <sz val="9"/>
            <color indexed="81"/>
            <rFont val="Tahoma"/>
          </rPr>
          <t>ضخامت نهایی انتخاب شده را وارد کنید</t>
        </r>
      </text>
    </comment>
    <comment ref="C43" authorId="0" shapeId="0">
      <text>
        <r>
          <rPr>
            <b/>
            <sz val="9"/>
            <color indexed="81"/>
            <rFont val="Tahoma"/>
          </rPr>
          <t>تعداد سخت کننده های موجود در مقطع</t>
        </r>
      </text>
    </comment>
    <comment ref="E43" authorId="0" shapeId="0">
      <text>
        <r>
          <rPr>
            <b/>
            <sz val="9"/>
            <color indexed="81"/>
            <rFont val="Tahoma"/>
          </rPr>
          <t>ارتفاع سخت کننده</t>
        </r>
      </text>
    </comment>
    <comment ref="G43" authorId="0" shapeId="0">
      <text>
        <r>
          <rPr>
            <b/>
            <sz val="9"/>
            <color indexed="81"/>
            <rFont val="Tahoma"/>
          </rPr>
          <t>ضخامت سخت کننده</t>
        </r>
      </text>
    </comment>
    <comment ref="C44" authorId="0" shapeId="0">
      <text>
        <r>
          <rPr>
            <b/>
            <sz val="9"/>
            <color indexed="81"/>
            <rFont val="Tahoma"/>
            <family val="2"/>
          </rPr>
          <t>عرض بیس پلیت در مقطع مورد بررسی</t>
        </r>
      </text>
    </comment>
    <comment ref="C45" authorId="0" shapeId="0">
      <text>
        <r>
          <rPr>
            <b/>
            <sz val="9"/>
            <color indexed="81"/>
            <rFont val="Tahoma"/>
          </rPr>
          <t>بعد عمود بر عرض مقطع مورد بررسی</t>
        </r>
      </text>
    </comment>
    <comment ref="E45" authorId="0" shapeId="0">
      <text>
        <r>
          <rPr>
            <b/>
            <sz val="9"/>
            <color indexed="81"/>
            <rFont val="Tahoma"/>
            <family val="2"/>
          </rPr>
          <t>ضریب بازرسی جوش:
در صورت انجام آزمایش های غیر مخرب=1
در صورت انجام جوش در کارخانه و بازرسی چشمی=0.85
در صورت انجام جوش در محل و بازرسی چشمی=0.75</t>
        </r>
      </text>
    </comment>
    <comment ref="G45" authorId="0" shapeId="0">
      <text>
        <r>
          <rPr>
            <b/>
            <sz val="9"/>
            <color indexed="81"/>
            <rFont val="Tahoma"/>
            <family val="2"/>
          </rPr>
          <t>مقاومت نهایی کششی فلز الکترود</t>
        </r>
      </text>
    </comment>
    <comment ref="I45" authorId="0" shapeId="0">
      <text>
        <r>
          <rPr>
            <b/>
            <sz val="9"/>
            <color indexed="81"/>
            <rFont val="Tahoma"/>
            <family val="2"/>
          </rPr>
          <t>جریان ناشی از برش(تنش زیر کف ستون) در روی کف ستون(kg/cm)</t>
        </r>
      </text>
    </comment>
    <comment ref="L45" authorId="0" shapeId="0">
      <text>
        <r>
          <rPr>
            <b/>
            <sz val="9"/>
            <color indexed="81"/>
            <rFont val="Tahoma"/>
          </rPr>
          <t xml:space="preserve">ممان استاتیک </t>
        </r>
      </text>
    </comment>
    <comment ref="C46" authorId="0" shapeId="0">
      <text>
        <r>
          <rPr>
            <b/>
            <sz val="9"/>
            <color indexed="81"/>
            <rFont val="Tahoma"/>
          </rPr>
          <t>محور خنثی</t>
        </r>
      </text>
    </comment>
    <comment ref="E46" authorId="0" shapeId="0">
      <text>
        <r>
          <rPr>
            <b/>
            <sz val="9"/>
            <color indexed="81"/>
            <rFont val="Tahoma"/>
          </rPr>
          <t>ممان اینرسی مقطع</t>
        </r>
      </text>
    </comment>
    <comment ref="G46" authorId="0" shapeId="0">
      <text>
        <r>
          <rPr>
            <b/>
            <sz val="9"/>
            <color indexed="81"/>
            <rFont val="Tahoma"/>
          </rPr>
          <t>اساس مقطع پلاستیک</t>
        </r>
      </text>
    </comment>
    <comment ref="J46" authorId="0" shapeId="0">
      <text>
        <r>
          <rPr>
            <b/>
            <sz val="9"/>
            <color indexed="81"/>
            <rFont val="Tahoma"/>
            <family val="2"/>
          </rPr>
          <t>براساس فلز جوش و نیروی برشی وطول واحدجوش</t>
        </r>
      </text>
    </comment>
    <comment ref="D49" authorId="0" shapeId="0">
      <text>
        <r>
          <rPr>
            <b/>
            <sz val="9"/>
            <color indexed="81"/>
            <rFont val="Tahoma"/>
            <family val="2"/>
          </rPr>
          <t>با فرض cv=1
وفرض معادل بودن مقطع(کف ستون+سخت کننده ها)</t>
        </r>
      </text>
    </comment>
    <comment ref="C54" authorId="0" shapeId="0">
      <text>
        <r>
          <rPr>
            <b/>
            <sz val="9"/>
            <color indexed="81"/>
            <rFont val="Tahoma"/>
            <family val="2"/>
          </rPr>
          <t>نیروی کششی وارد بر بولت ها</t>
        </r>
      </text>
    </comment>
    <comment ref="E54" authorId="0" shapeId="0">
      <text>
        <r>
          <rPr>
            <b/>
            <sz val="9"/>
            <color indexed="81"/>
            <rFont val="Tahoma"/>
            <family val="2"/>
          </rPr>
          <t>مقاومت کششی اسمی مطابق جدول روبرو</t>
        </r>
      </text>
    </comment>
    <comment ref="G54" authorId="0" shapeId="0">
      <text>
        <r>
          <rPr>
            <b/>
            <sz val="9"/>
            <color indexed="81"/>
            <rFont val="Tahoma"/>
            <family val="2"/>
          </rPr>
          <t>مقاومت برشی اسمی مطابق جدول روبرو</t>
        </r>
        <r>
          <rPr>
            <sz val="9"/>
            <color indexed="81"/>
            <rFont val="Tahoma"/>
            <family val="2"/>
          </rPr>
          <t xml:space="preserve">
</t>
        </r>
      </text>
    </comment>
    <comment ref="I54" authorId="0" shapeId="0">
      <text>
        <r>
          <rPr>
            <b/>
            <sz val="9"/>
            <color indexed="81"/>
            <rFont val="Tahoma"/>
            <family val="2"/>
          </rPr>
          <t>ضخامت کف ستون</t>
        </r>
      </text>
    </comment>
    <comment ref="K54" authorId="0" shapeId="0">
      <text>
        <r>
          <rPr>
            <b/>
            <sz val="9"/>
            <color indexed="81"/>
            <rFont val="Tahoma"/>
            <family val="2"/>
          </rPr>
          <t>بزرگتر یا مساوی 20mm</t>
        </r>
      </text>
    </comment>
    <comment ref="M54" authorId="0" shapeId="0">
      <text>
        <r>
          <rPr>
            <b/>
            <sz val="9"/>
            <color indexed="81"/>
            <rFont val="Tahoma"/>
            <family val="2"/>
          </rPr>
          <t>تعداد صفحات لغزش هر پیچ</t>
        </r>
      </text>
    </comment>
    <comment ref="C55" authorId="0" shapeId="0">
      <text>
        <r>
          <rPr>
            <b/>
            <sz val="9"/>
            <color indexed="81"/>
            <rFont val="Tahoma"/>
            <family val="2"/>
          </rPr>
          <t>نیروی برشی وارد بر بولت ها</t>
        </r>
      </text>
    </comment>
    <comment ref="E55" authorId="0" shapeId="0">
      <text>
        <r>
          <rPr>
            <b/>
            <sz val="9"/>
            <color indexed="81"/>
            <rFont val="Tahoma"/>
            <family val="2"/>
          </rPr>
          <t>تعداد کل بولت های مصرفی (ترجیحا متقارن)</t>
        </r>
      </text>
    </comment>
    <comment ref="G55" authorId="0" shapeId="0">
      <text>
        <r>
          <rPr>
            <b/>
            <sz val="9"/>
            <color indexed="81"/>
            <rFont val="Tahoma"/>
            <family val="2"/>
          </rPr>
          <t>تنش نهایی بولت</t>
        </r>
      </text>
    </comment>
    <comment ref="I55" authorId="0" shapeId="0">
      <text>
        <r>
          <rPr>
            <b/>
            <sz val="9"/>
            <color indexed="81"/>
            <rFont val="Tahoma"/>
            <family val="2"/>
          </rPr>
          <t>ضریب اصطکاک:
برای سطح فلس دار تمیز و رنگ شده=0.3
برای سطح تمیز شده با ماسه پاشی و رنگ نشده=0.5</t>
        </r>
      </text>
    </comment>
    <comment ref="K55" authorId="0" shapeId="0">
      <text>
        <r>
          <rPr>
            <b/>
            <sz val="9"/>
            <color indexed="81"/>
            <rFont val="Tahoma"/>
            <family val="2"/>
          </rPr>
          <t>ضریب اثر ورق های پرکننده بین قطعات اتصال:
در صورت استفاده و یا عدم استفاده از ورق پرکننده=1
در صورت استفاده از دو یا تعداد بیشتری از ورق های پرکننده=0.85</t>
        </r>
      </text>
    </comment>
    <comment ref="C56" authorId="0" shapeId="0">
      <text>
        <r>
          <rPr>
            <b/>
            <sz val="9"/>
            <color indexed="81"/>
            <rFont val="Tahoma"/>
            <family val="2"/>
          </rPr>
          <t>ضریب کاهش مقاوت در اتصالات اتکایی:</t>
        </r>
        <r>
          <rPr>
            <sz val="9"/>
            <color indexed="81"/>
            <rFont val="Tahoma"/>
            <family val="2"/>
          </rPr>
          <t xml:space="preserve">
</t>
        </r>
      </text>
    </comment>
    <comment ref="E56" authorId="0" shapeId="0">
      <text>
        <r>
          <rPr>
            <b/>
            <sz val="9"/>
            <color indexed="81"/>
            <rFont val="Tahoma"/>
            <family val="2"/>
          </rPr>
          <t>ضریب کاهش مقاوت در اتصالات اصطکاکی:
برای سوراخ های استاندارد و لوبیایی کوتاه در امتداد عمود بر راستای نیرو=1
برای سوراخ های بزرگ شده و لوبیایی کوتاه در امتداد موازی با راستای نیرو=0.85
برای سوراخ های لوبیایی بلند=0.7</t>
        </r>
      </text>
    </comment>
    <comment ref="F58" authorId="0" shapeId="0">
      <text>
        <r>
          <rPr>
            <b/>
            <sz val="9"/>
            <color indexed="81"/>
            <rFont val="Tahoma"/>
            <family val="2"/>
          </rPr>
          <t>تنش کششی موجود در هر بولت</t>
        </r>
      </text>
    </comment>
    <comment ref="H58" authorId="0" shapeId="0">
      <text>
        <r>
          <rPr>
            <b/>
            <sz val="9"/>
            <color indexed="81"/>
            <rFont val="Tahoma"/>
            <family val="2"/>
          </rPr>
          <t>تنش برشی موجود در هر بولت</t>
        </r>
        <r>
          <rPr>
            <sz val="9"/>
            <color indexed="81"/>
            <rFont val="Tahoma"/>
            <family val="2"/>
          </rPr>
          <t xml:space="preserve">
</t>
        </r>
      </text>
    </comment>
    <comment ref="J58" authorId="0" shapeId="0">
      <text>
        <r>
          <rPr>
            <b/>
            <sz val="9"/>
            <color indexed="81"/>
            <rFont val="Tahoma"/>
            <family val="2"/>
          </rPr>
          <t>سطح مقطع هر بولت</t>
        </r>
      </text>
    </comment>
    <comment ref="D60" authorId="0" shapeId="0">
      <text>
        <r>
          <rPr>
            <b/>
            <sz val="9"/>
            <color indexed="81"/>
            <rFont val="Tahoma"/>
            <family val="2"/>
          </rPr>
          <t>مقاومت برشی طراحی</t>
        </r>
      </text>
    </comment>
    <comment ref="I60" authorId="0" shapeId="0">
      <text>
        <r>
          <rPr>
            <b/>
            <sz val="9"/>
            <color indexed="81"/>
            <rFont val="Tahoma"/>
            <family val="2"/>
          </rPr>
          <t>مقاومت برشی طراحی</t>
        </r>
      </text>
    </comment>
    <comment ref="D62" authorId="0" shapeId="0">
      <text>
        <r>
          <rPr>
            <b/>
            <sz val="9"/>
            <color indexed="81"/>
            <rFont val="Tahoma"/>
            <family val="2"/>
          </rPr>
          <t>مقاومت کششی طراحی
(توجه:ممکن است بخواهیم تنها تعدادی از بولت های در نظر گرفته شده برای کف ستون را از لحظ کشش بررسی کنیم در اینصورت در مقدار n باید تجدید نظر شود)</t>
        </r>
      </text>
    </comment>
    <comment ref="I62" authorId="0" shapeId="0">
      <text>
        <r>
          <rPr>
            <b/>
            <sz val="9"/>
            <color indexed="81"/>
            <rFont val="Tahoma"/>
            <family val="2"/>
          </rPr>
          <t>مقاومت کششی طراحی
(توجه:ممکن است بخواهیم تنها تعدادی از بولت های در نظر گرفته شده برای کف ستون را از لحظ کشش بررسی کنیم در اینصورت در مقدار n باید تجدید نظر شود)</t>
        </r>
      </text>
    </comment>
    <comment ref="F71" authorId="0" shapeId="0">
      <text>
        <r>
          <rPr>
            <b/>
            <sz val="9"/>
            <color indexed="81"/>
            <rFont val="Tahoma"/>
            <family val="2"/>
          </rPr>
          <t>مقاومت برشی طراحی</t>
        </r>
      </text>
    </comment>
    <comment ref="C74" authorId="0" shapeId="0">
      <text>
        <r>
          <rPr>
            <b/>
            <sz val="9"/>
            <color indexed="81"/>
            <rFont val="Tahoma"/>
            <family val="2"/>
          </rPr>
          <t>بزرگتر یا مساوی 20mm</t>
        </r>
      </text>
    </comment>
    <comment ref="E74" authorId="0" shapeId="0">
      <text>
        <r>
          <rPr>
            <b/>
            <sz val="9"/>
            <color indexed="81"/>
            <rFont val="Tahoma"/>
            <family val="2"/>
          </rPr>
          <t>برای میلگرد های بدون روکش اپوکسی برابر 1،برای میلگردهای دارای روکش اپوکسی به ضخامت کمتر از 3برابر قطر میلگردها برابر 1.5 وبرای سایر میلگرد های دارای روکش اپوکسی برابر 1.2 می باشد.</t>
        </r>
      </text>
    </comment>
    <comment ref="G74" authorId="0" shapeId="0">
      <text>
        <r>
          <rPr>
            <b/>
            <sz val="9"/>
            <color indexed="81"/>
            <rFont val="Tahoma"/>
            <family val="2"/>
          </rPr>
          <t>برای بتن سبک برابر 1.3 و برای بتن معمولی برابر 1 میباشد.</t>
        </r>
        <r>
          <rPr>
            <sz val="9"/>
            <color indexed="81"/>
            <rFont val="Tahoma"/>
            <family val="2"/>
          </rPr>
          <t xml:space="preserve">
</t>
        </r>
      </text>
    </comment>
    <comment ref="K74" authorId="0" shapeId="0">
      <text>
        <r>
          <rPr>
            <b/>
            <sz val="9"/>
            <color indexed="81"/>
            <rFont val="Tahoma"/>
            <family val="2"/>
          </rPr>
          <t>در تمامی موارد برابر 1 می باشد،بجز در مواردی که پوشش جانبی عمود بر صفحه قلاب برابر 65میلیمتر و پوشش در انتهای قلاب نیز حداقل50میلیمتر باشد که در این حالت برابر 0.7 در نظر گرفته می شود.</t>
        </r>
        <r>
          <rPr>
            <sz val="9"/>
            <color indexed="81"/>
            <rFont val="Tahoma"/>
            <family val="2"/>
          </rPr>
          <t xml:space="preserve">
</t>
        </r>
      </text>
    </comment>
    <comment ref="M74" authorId="0" shapeId="0">
      <text>
        <r>
          <rPr>
            <b/>
            <sz val="9"/>
            <color indexed="81"/>
            <rFont val="Tahoma"/>
            <family val="2"/>
          </rPr>
          <t>در تمامی موارد برابر 1 مگر در حالتی که میلگرد ها در طول مهاری با خاموت هایی به فاصله مساوی یا کمتر از 3db محصور باشند که در اینصورت برابر 0.8 فرض میگردد.</t>
        </r>
      </text>
    </comment>
    <comment ref="M75" authorId="0" shapeId="0">
      <text>
        <r>
          <rPr>
            <b/>
            <sz val="9"/>
            <color indexed="81"/>
            <rFont val="Tahoma"/>
            <family val="2"/>
          </rPr>
          <t>در صورتیکه درطولl</t>
        </r>
        <r>
          <rPr>
            <b/>
            <sz val="8"/>
            <color indexed="81"/>
            <rFont val="Tahoma"/>
            <family val="2"/>
          </rPr>
          <t xml:space="preserve">dc </t>
        </r>
        <r>
          <rPr>
            <b/>
            <sz val="9"/>
            <color indexed="81"/>
            <rFont val="Tahoma"/>
            <family val="2"/>
          </rPr>
          <t>ازخاموت به قطرحداقل12و فاصله حداکثر100استفاده شده باشد.</t>
        </r>
      </text>
    </comment>
    <comment ref="I81" authorId="0" shapeId="0">
      <text>
        <r>
          <rPr>
            <b/>
            <sz val="9"/>
            <color indexed="81"/>
            <rFont val="Tahoma"/>
            <family val="2"/>
          </rPr>
          <t>عرض بیس پلیت در امتداد مورد بررسی</t>
        </r>
      </text>
    </comment>
    <comment ref="K81" authorId="0" shapeId="0">
      <text>
        <r>
          <rPr>
            <b/>
            <sz val="9"/>
            <color indexed="81"/>
            <rFont val="Tahoma"/>
            <family val="2"/>
          </rPr>
          <t>تعداد بولت های مصرفی در امتداد مورد بررسی</t>
        </r>
      </text>
    </comment>
  </commentList>
</comments>
</file>

<file path=xl/comments2.xml><?xml version="1.0" encoding="utf-8"?>
<comments xmlns="http://schemas.openxmlformats.org/spreadsheetml/2006/main">
  <authors>
    <author>sahargahan</author>
  </authors>
  <commentList>
    <comment ref="C4" authorId="0" shapeId="0">
      <text>
        <r>
          <rPr>
            <b/>
            <sz val="9"/>
            <color indexed="81"/>
            <rFont val="Tahoma"/>
            <family val="2"/>
          </rPr>
          <t>میزان لنگر خمشی در جهت x و یا y</t>
        </r>
      </text>
    </comment>
    <comment ref="C8" authorId="0" shapeId="0">
      <text>
        <r>
          <rPr>
            <b/>
            <sz val="9"/>
            <color indexed="81"/>
            <rFont val="Tahoma"/>
            <family val="2"/>
          </rPr>
          <t>سطح مورد نیاز کف ستون</t>
        </r>
      </text>
    </comment>
    <comment ref="F8" authorId="0" shapeId="0">
      <text>
        <r>
          <rPr>
            <b/>
            <sz val="9"/>
            <color indexed="81"/>
            <rFont val="Tahoma"/>
          </rPr>
          <t>بعد کف ستون در جهت x</t>
        </r>
      </text>
    </comment>
    <comment ref="H8" authorId="0" shapeId="0">
      <text>
        <r>
          <rPr>
            <b/>
            <sz val="9"/>
            <color indexed="81"/>
            <rFont val="Tahoma"/>
          </rPr>
          <t>بعد کف ستون در جهت y</t>
        </r>
        <r>
          <rPr>
            <sz val="9"/>
            <color indexed="81"/>
            <rFont val="Tahoma"/>
          </rPr>
          <t xml:space="preserve">
</t>
        </r>
      </text>
    </comment>
    <comment ref="E19" authorId="0" shapeId="0">
      <text>
        <r>
          <rPr>
            <b/>
            <sz val="9"/>
            <color indexed="81"/>
            <rFont val="Tahoma"/>
            <family val="2"/>
          </rPr>
          <t>با توجه به راستای لنگر:
اگر لنگر خمشی در جهت x باشد=B
اگر لنگر خمشی در جهت y باشد=N</t>
        </r>
      </text>
    </comment>
    <comment ref="G26" authorId="0" shapeId="0">
      <text>
        <r>
          <rPr>
            <b/>
            <sz val="9"/>
            <color indexed="81"/>
            <rFont val="Tahoma"/>
            <family val="2"/>
          </rPr>
          <t>تنش موجود در زیر کف ستون</t>
        </r>
      </text>
    </comment>
    <comment ref="I26" authorId="0" shapeId="0">
      <text>
        <r>
          <rPr>
            <b/>
            <sz val="9"/>
            <color indexed="81"/>
            <rFont val="Tahoma"/>
            <family val="2"/>
          </rPr>
          <t>تنش مجاز در زیر کف ستون</t>
        </r>
        <r>
          <rPr>
            <sz val="9"/>
            <color indexed="81"/>
            <rFont val="Tahoma"/>
            <family val="2"/>
          </rPr>
          <t xml:space="preserve">
</t>
        </r>
      </text>
    </comment>
    <comment ref="V26" authorId="0" shapeId="0">
      <text>
        <r>
          <rPr>
            <b/>
            <sz val="9"/>
            <color indexed="81"/>
            <rFont val="Tahoma"/>
            <family val="2"/>
          </rPr>
          <t>تنش موجود در زیر کف ستون</t>
        </r>
      </text>
    </comment>
    <comment ref="X26" authorId="0" shapeId="0">
      <text>
        <r>
          <rPr>
            <b/>
            <sz val="9"/>
            <color indexed="81"/>
            <rFont val="Tahoma"/>
            <family val="2"/>
          </rPr>
          <t>تنش مجاز در زیر کف ستون</t>
        </r>
        <r>
          <rPr>
            <sz val="9"/>
            <color indexed="81"/>
            <rFont val="Tahoma"/>
            <family val="2"/>
          </rPr>
          <t xml:space="preserve">
</t>
        </r>
      </text>
    </comment>
    <comment ref="AJ27" authorId="0" shapeId="0">
      <text>
        <r>
          <rPr>
            <b/>
            <sz val="9"/>
            <color indexed="81"/>
            <rFont val="Tahoma"/>
            <family val="2"/>
          </rPr>
          <t>فاصله آکس ستون تاآکس بولت های کششی</t>
        </r>
      </text>
    </comment>
    <comment ref="G28" authorId="0" shapeId="0">
      <text>
        <r>
          <rPr>
            <b/>
            <sz val="9"/>
            <color indexed="81"/>
            <rFont val="Tahoma"/>
            <family val="2"/>
          </rPr>
          <t>تنش موجود در زیر کف ستون</t>
        </r>
      </text>
    </comment>
    <comment ref="I28" authorId="0" shapeId="0">
      <text>
        <r>
          <rPr>
            <b/>
            <sz val="9"/>
            <color indexed="81"/>
            <rFont val="Tahoma"/>
            <family val="2"/>
          </rPr>
          <t>تنش مجاز در زیر کف ستون</t>
        </r>
        <r>
          <rPr>
            <sz val="9"/>
            <color indexed="81"/>
            <rFont val="Tahoma"/>
            <family val="2"/>
          </rPr>
          <t xml:space="preserve">
</t>
        </r>
      </text>
    </comment>
    <comment ref="V28" authorId="0" shapeId="0">
      <text>
        <r>
          <rPr>
            <b/>
            <sz val="9"/>
            <color indexed="81"/>
            <rFont val="Tahoma"/>
            <family val="2"/>
          </rPr>
          <t>تنش موجود در زیر کف ستون</t>
        </r>
      </text>
    </comment>
    <comment ref="X28" authorId="0" shapeId="0">
      <text>
        <r>
          <rPr>
            <b/>
            <sz val="9"/>
            <color indexed="81"/>
            <rFont val="Tahoma"/>
            <family val="2"/>
          </rPr>
          <t>تنش مجاز در زیر کف ستون</t>
        </r>
        <r>
          <rPr>
            <sz val="9"/>
            <color indexed="81"/>
            <rFont val="Tahoma"/>
            <family val="2"/>
          </rPr>
          <t xml:space="preserve">
</t>
        </r>
      </text>
    </comment>
    <comment ref="I30" authorId="0" shapeId="0">
      <text>
        <r>
          <rPr>
            <b/>
            <sz val="9"/>
            <color indexed="81"/>
            <rFont val="Tahoma"/>
          </rPr>
          <t>ضخامت نهایی انتخاب شده را وارد کنید</t>
        </r>
      </text>
    </comment>
    <comment ref="X30" authorId="0" shapeId="0">
      <text>
        <r>
          <rPr>
            <b/>
            <sz val="9"/>
            <color indexed="81"/>
            <rFont val="Tahoma"/>
          </rPr>
          <t>ضخامت نهایی انتخاب شده را وارد کنید</t>
        </r>
      </text>
    </comment>
    <comment ref="AF33" authorId="0" shapeId="0">
      <text>
        <r>
          <rPr>
            <b/>
            <sz val="9"/>
            <color indexed="81"/>
            <rFont val="Tahoma"/>
            <family val="2"/>
          </rPr>
          <t>تنش موجود در زیر کف ستون</t>
        </r>
      </text>
    </comment>
    <comment ref="AM33" authorId="0" shapeId="0">
      <text>
        <r>
          <rPr>
            <b/>
            <sz val="9"/>
            <color indexed="81"/>
            <rFont val="Tahoma"/>
            <family val="2"/>
          </rPr>
          <t>تنش مجاز در زیر کف ستون</t>
        </r>
        <r>
          <rPr>
            <sz val="9"/>
            <color indexed="81"/>
            <rFont val="Tahoma"/>
            <family val="2"/>
          </rPr>
          <t xml:space="preserve">
</t>
        </r>
      </text>
    </comment>
    <comment ref="B34" authorId="0" shapeId="0">
      <text>
        <r>
          <rPr>
            <b/>
            <sz val="9"/>
            <color indexed="81"/>
            <rFont val="Tahoma"/>
            <family val="2"/>
          </rPr>
          <t xml:space="preserve">عرض ناحیه طره ای
به شکل دقت شود
</t>
        </r>
      </text>
    </comment>
    <comment ref="E34" authorId="0" shapeId="0">
      <text>
        <r>
          <rPr>
            <b/>
            <sz val="9"/>
            <color indexed="81"/>
            <rFont val="Tahoma"/>
            <family val="2"/>
          </rPr>
          <t>طول عمود بر لبه آزاد ورق 
به شکل دقت شود</t>
        </r>
      </text>
    </comment>
    <comment ref="G34" authorId="0" shapeId="0">
      <text>
        <r>
          <rPr>
            <b/>
            <sz val="9"/>
            <color indexed="81"/>
            <rFont val="Tahoma"/>
            <family val="2"/>
          </rPr>
          <t>طول لبه آزاد ورق 
به شکل دقت شود</t>
        </r>
      </text>
    </comment>
    <comment ref="J34" authorId="0" shapeId="0">
      <text>
        <r>
          <rPr>
            <b/>
            <sz val="9"/>
            <color indexed="81"/>
            <rFont val="Tahoma"/>
            <family val="2"/>
          </rPr>
          <t>طول ضلع بزرگتر ورق 
به شکل دقت شود</t>
        </r>
        <r>
          <rPr>
            <sz val="9"/>
            <color indexed="81"/>
            <rFont val="Tahoma"/>
            <family val="2"/>
          </rPr>
          <t xml:space="preserve">
</t>
        </r>
      </text>
    </comment>
    <comment ref="L34" authorId="0" shapeId="0">
      <text>
        <r>
          <rPr>
            <b/>
            <sz val="9"/>
            <color indexed="81"/>
            <rFont val="Tahoma"/>
            <family val="2"/>
          </rPr>
          <t>طول ضلع کوچکتر ورق 
به شکل دقت شود</t>
        </r>
        <r>
          <rPr>
            <sz val="9"/>
            <color indexed="81"/>
            <rFont val="Tahoma"/>
            <family val="2"/>
          </rPr>
          <t xml:space="preserve">
</t>
        </r>
      </text>
    </comment>
    <comment ref="Q34" authorId="0" shapeId="0">
      <text>
        <r>
          <rPr>
            <b/>
            <sz val="9"/>
            <color indexed="81"/>
            <rFont val="Tahoma"/>
            <family val="2"/>
          </rPr>
          <t xml:space="preserve">عرض ناحیه طره ای
به شکل دقت شود
</t>
        </r>
      </text>
    </comment>
    <comment ref="T34" authorId="0" shapeId="0">
      <text>
        <r>
          <rPr>
            <b/>
            <sz val="9"/>
            <color indexed="81"/>
            <rFont val="Tahoma"/>
            <family val="2"/>
          </rPr>
          <t>طول عمود بر لبه آزاد ورق 
به شکل دقت شود</t>
        </r>
      </text>
    </comment>
    <comment ref="V34" authorId="0" shapeId="0">
      <text>
        <r>
          <rPr>
            <b/>
            <sz val="9"/>
            <color indexed="81"/>
            <rFont val="Tahoma"/>
            <family val="2"/>
          </rPr>
          <t>طول لبه آزاد ورق 
به شکل دقت شود</t>
        </r>
      </text>
    </comment>
    <comment ref="Y34" authorId="0" shapeId="0">
      <text>
        <r>
          <rPr>
            <b/>
            <sz val="9"/>
            <color indexed="81"/>
            <rFont val="Tahoma"/>
            <family val="2"/>
          </rPr>
          <t>طول ضلع بزرگتر ورق 
به شکل دقت شود</t>
        </r>
        <r>
          <rPr>
            <sz val="9"/>
            <color indexed="81"/>
            <rFont val="Tahoma"/>
            <family val="2"/>
          </rPr>
          <t xml:space="preserve">
</t>
        </r>
      </text>
    </comment>
    <comment ref="AA34" authorId="0" shapeId="0">
      <text>
        <r>
          <rPr>
            <b/>
            <sz val="9"/>
            <color indexed="81"/>
            <rFont val="Tahoma"/>
            <family val="2"/>
          </rPr>
          <t>طول ضلع کوچکتر ورق 
به شکل دقت شود</t>
        </r>
        <r>
          <rPr>
            <sz val="9"/>
            <color indexed="81"/>
            <rFont val="Tahoma"/>
            <family val="2"/>
          </rPr>
          <t xml:space="preserve">
</t>
        </r>
      </text>
    </comment>
    <comment ref="AK35" authorId="0" shapeId="0">
      <text>
        <r>
          <rPr>
            <b/>
            <sz val="9"/>
            <color indexed="81"/>
            <rFont val="Tahoma"/>
          </rPr>
          <t>ضخامت نهایی انتخاب شده را وارد کنید</t>
        </r>
      </text>
    </comment>
    <comment ref="B36" authorId="0" shapeId="0">
      <text>
        <r>
          <rPr>
            <b/>
            <sz val="9"/>
            <color indexed="81"/>
            <rFont val="Tahoma"/>
          </rPr>
          <t>لنگر حداکثر در طول واحد</t>
        </r>
      </text>
    </comment>
    <comment ref="Q36" authorId="0" shapeId="0">
      <text>
        <r>
          <rPr>
            <b/>
            <sz val="9"/>
            <color indexed="81"/>
            <rFont val="Tahoma"/>
          </rPr>
          <t>لنگر حداکثر در طول واحد</t>
        </r>
      </text>
    </comment>
    <comment ref="J37" authorId="0" shapeId="0">
      <text>
        <r>
          <rPr>
            <b/>
            <sz val="9"/>
            <color indexed="81"/>
            <rFont val="Tahoma"/>
            <family val="2"/>
          </rPr>
          <t>لنگر برای نواری به عرض1سانتی متر به موازات ضلعa</t>
        </r>
      </text>
    </comment>
    <comment ref="L37" authorId="0" shapeId="0">
      <text>
        <r>
          <rPr>
            <b/>
            <sz val="9"/>
            <color indexed="81"/>
            <rFont val="Tahoma"/>
            <family val="2"/>
          </rPr>
          <t>لنگر برای نواری به عرض1سانتی متر به موازات ضلعb</t>
        </r>
        <r>
          <rPr>
            <sz val="9"/>
            <color indexed="81"/>
            <rFont val="Tahoma"/>
            <family val="2"/>
          </rPr>
          <t xml:space="preserve">
</t>
        </r>
      </text>
    </comment>
    <comment ref="Y37" authorId="0" shapeId="0">
      <text>
        <r>
          <rPr>
            <b/>
            <sz val="9"/>
            <color indexed="81"/>
            <rFont val="Tahoma"/>
            <family val="2"/>
          </rPr>
          <t>لنگر برای نواری به عرض1سانتی متر به موازات ضلعa</t>
        </r>
      </text>
    </comment>
    <comment ref="AA37" authorId="0" shapeId="0">
      <text>
        <r>
          <rPr>
            <b/>
            <sz val="9"/>
            <color indexed="81"/>
            <rFont val="Tahoma"/>
            <family val="2"/>
          </rPr>
          <t>لنگر برای نواری به عرض1سانتی متر به موازات ضلعb</t>
        </r>
        <r>
          <rPr>
            <sz val="9"/>
            <color indexed="81"/>
            <rFont val="Tahoma"/>
            <family val="2"/>
          </rPr>
          <t xml:space="preserve">
</t>
        </r>
      </text>
    </comment>
    <comment ref="B38" authorId="0" shapeId="0">
      <text>
        <r>
          <rPr>
            <b/>
            <sz val="9"/>
            <color indexed="81"/>
            <rFont val="Tahoma"/>
          </rPr>
          <t>بیشترین لنگر بدست آمده از نواحی مختلف</t>
        </r>
      </text>
    </comment>
    <comment ref="F38" authorId="0" shapeId="0">
      <text>
        <r>
          <rPr>
            <b/>
            <sz val="9"/>
            <color indexed="81"/>
            <rFont val="Tahoma"/>
            <family val="2"/>
          </rPr>
          <t>تنش موجود در زیر کف ستون</t>
        </r>
      </text>
    </comment>
    <comment ref="H38" authorId="0" shapeId="0">
      <text>
        <r>
          <rPr>
            <b/>
            <sz val="9"/>
            <color indexed="81"/>
            <rFont val="Tahoma"/>
            <family val="2"/>
          </rPr>
          <t>تنش مجاز در زیر کف ستون</t>
        </r>
        <r>
          <rPr>
            <sz val="9"/>
            <color indexed="81"/>
            <rFont val="Tahoma"/>
            <family val="2"/>
          </rPr>
          <t xml:space="preserve">
</t>
        </r>
      </text>
    </comment>
    <comment ref="Q38" authorId="0" shapeId="0">
      <text>
        <r>
          <rPr>
            <b/>
            <sz val="9"/>
            <color indexed="81"/>
            <rFont val="Tahoma"/>
          </rPr>
          <t>بیشترین لنگر بدست آمده از نواحی مختلف</t>
        </r>
      </text>
    </comment>
    <comment ref="U38" authorId="0" shapeId="0">
      <text>
        <r>
          <rPr>
            <b/>
            <sz val="9"/>
            <color indexed="81"/>
            <rFont val="Tahoma"/>
            <family val="2"/>
          </rPr>
          <t>تنش موجود در زیر کف ستون</t>
        </r>
      </text>
    </comment>
    <comment ref="W38" authorId="0" shapeId="0">
      <text>
        <r>
          <rPr>
            <b/>
            <sz val="9"/>
            <color indexed="81"/>
            <rFont val="Tahoma"/>
            <family val="2"/>
          </rPr>
          <t>تنش مجاز در زیر کف ستون</t>
        </r>
        <r>
          <rPr>
            <sz val="9"/>
            <color indexed="81"/>
            <rFont val="Tahoma"/>
            <family val="2"/>
          </rPr>
          <t xml:space="preserve">
</t>
        </r>
      </text>
    </comment>
    <comment ref="H39" authorId="0" shapeId="0">
      <text>
        <r>
          <rPr>
            <b/>
            <sz val="9"/>
            <color indexed="81"/>
            <rFont val="Tahoma"/>
          </rPr>
          <t>ضخامت نهایی انتخاب شده را وارد کنید</t>
        </r>
      </text>
    </comment>
    <comment ref="W39" authorId="0" shapeId="0">
      <text>
        <r>
          <rPr>
            <b/>
            <sz val="9"/>
            <color indexed="81"/>
            <rFont val="Tahoma"/>
          </rPr>
          <t>ضخامت نهایی انتخاب شده را وارد کنید</t>
        </r>
      </text>
    </comment>
    <comment ref="AF39" authorId="0" shapeId="0">
      <text>
        <r>
          <rPr>
            <b/>
            <sz val="9"/>
            <color indexed="81"/>
            <rFont val="Tahoma"/>
            <family val="2"/>
          </rPr>
          <t xml:space="preserve">عرض ناحیه طره ای
به شکل دقت شود
</t>
        </r>
      </text>
    </comment>
    <comment ref="AI39" authorId="0" shapeId="0">
      <text>
        <r>
          <rPr>
            <b/>
            <sz val="9"/>
            <color indexed="81"/>
            <rFont val="Tahoma"/>
            <family val="2"/>
          </rPr>
          <t>طول عمود بر لبه آزاد ورق 
به شکل دقت شود</t>
        </r>
      </text>
    </comment>
    <comment ref="AK39" authorId="0" shapeId="0">
      <text>
        <r>
          <rPr>
            <b/>
            <sz val="9"/>
            <color indexed="81"/>
            <rFont val="Tahoma"/>
            <family val="2"/>
          </rPr>
          <t>طول لبه آزاد ورق 
به شکل دقت شود</t>
        </r>
      </text>
    </comment>
    <comment ref="AN39" authorId="0" shapeId="0">
      <text>
        <r>
          <rPr>
            <b/>
            <sz val="9"/>
            <color indexed="81"/>
            <rFont val="Tahoma"/>
            <family val="2"/>
          </rPr>
          <t>طول ضلع بزرگتر ورق 
به شکل دقت شود</t>
        </r>
        <r>
          <rPr>
            <sz val="9"/>
            <color indexed="81"/>
            <rFont val="Tahoma"/>
            <family val="2"/>
          </rPr>
          <t xml:space="preserve">
</t>
        </r>
      </text>
    </comment>
    <comment ref="AP39" authorId="0" shapeId="0">
      <text>
        <r>
          <rPr>
            <b/>
            <sz val="9"/>
            <color indexed="81"/>
            <rFont val="Tahoma"/>
            <family val="2"/>
          </rPr>
          <t>طول ضلع کوچکتر ورق 
به شکل دقت شود</t>
        </r>
        <r>
          <rPr>
            <sz val="9"/>
            <color indexed="81"/>
            <rFont val="Tahoma"/>
            <family val="2"/>
          </rPr>
          <t xml:space="preserve">
</t>
        </r>
      </text>
    </comment>
    <comment ref="AF41" authorId="0" shapeId="0">
      <text>
        <r>
          <rPr>
            <b/>
            <sz val="9"/>
            <color indexed="81"/>
            <rFont val="Tahoma"/>
          </rPr>
          <t>لنگر حداکثر در طول واحد</t>
        </r>
      </text>
    </comment>
    <comment ref="B42" authorId="0" shapeId="0">
      <text>
        <r>
          <rPr>
            <b/>
            <sz val="9"/>
            <color indexed="81"/>
            <rFont val="Tahoma"/>
          </rPr>
          <t>تعداد سخت کننده های موجود در مقطع</t>
        </r>
      </text>
    </comment>
    <comment ref="D42" authorId="0" shapeId="0">
      <text>
        <r>
          <rPr>
            <b/>
            <sz val="9"/>
            <color indexed="81"/>
            <rFont val="Tahoma"/>
          </rPr>
          <t>ارتفاع سخت کننده</t>
        </r>
      </text>
    </comment>
    <comment ref="F42" authorId="0" shapeId="0">
      <text>
        <r>
          <rPr>
            <b/>
            <sz val="9"/>
            <color indexed="81"/>
            <rFont val="Tahoma"/>
          </rPr>
          <t>ضخامت سخت کننده</t>
        </r>
      </text>
    </comment>
    <comment ref="Q42" authorId="0" shapeId="0">
      <text>
        <r>
          <rPr>
            <b/>
            <sz val="9"/>
            <color indexed="81"/>
            <rFont val="Tahoma"/>
          </rPr>
          <t>تعداد سخت کننده های موجود در مقطع</t>
        </r>
      </text>
    </comment>
    <comment ref="S42" authorId="0" shapeId="0">
      <text>
        <r>
          <rPr>
            <b/>
            <sz val="9"/>
            <color indexed="81"/>
            <rFont val="Tahoma"/>
          </rPr>
          <t>ارتفاع سخت کننده</t>
        </r>
      </text>
    </comment>
    <comment ref="U42" authorId="0" shapeId="0">
      <text>
        <r>
          <rPr>
            <b/>
            <sz val="9"/>
            <color indexed="81"/>
            <rFont val="Tahoma"/>
          </rPr>
          <t>ضخامت سخت کننده</t>
        </r>
      </text>
    </comment>
    <comment ref="AN42" authorId="0" shapeId="0">
      <text>
        <r>
          <rPr>
            <b/>
            <sz val="9"/>
            <color indexed="81"/>
            <rFont val="Tahoma"/>
            <family val="2"/>
          </rPr>
          <t>لنگر برای نواری به عرض1سانتی متر به موازات ضلعa</t>
        </r>
      </text>
    </comment>
    <comment ref="AP42" authorId="0" shapeId="0">
      <text>
        <r>
          <rPr>
            <b/>
            <sz val="9"/>
            <color indexed="81"/>
            <rFont val="Tahoma"/>
            <family val="2"/>
          </rPr>
          <t>لنگر برای نواری به عرض1سانتی متر به موازات ضلعb</t>
        </r>
        <r>
          <rPr>
            <sz val="9"/>
            <color indexed="81"/>
            <rFont val="Tahoma"/>
            <family val="2"/>
          </rPr>
          <t xml:space="preserve">
</t>
        </r>
      </text>
    </comment>
    <comment ref="B43" authorId="0" shapeId="0">
      <text>
        <r>
          <rPr>
            <b/>
            <sz val="9"/>
            <color indexed="81"/>
            <rFont val="Tahoma"/>
            <family val="2"/>
          </rPr>
          <t>عرض بیس پلیت در مقطع مورد بررسی</t>
        </r>
      </text>
    </comment>
    <comment ref="Q43" authorId="0" shapeId="0">
      <text>
        <r>
          <rPr>
            <b/>
            <sz val="9"/>
            <color indexed="81"/>
            <rFont val="Tahoma"/>
            <family val="2"/>
          </rPr>
          <t>عرض بیس پلیت در مقطع مورد بررسی</t>
        </r>
      </text>
    </comment>
    <comment ref="AF43" authorId="0" shapeId="0">
      <text>
        <r>
          <rPr>
            <b/>
            <sz val="9"/>
            <color indexed="81"/>
            <rFont val="Tahoma"/>
          </rPr>
          <t>بیشترین لنگر بدست آمده از نواحی مختلف</t>
        </r>
      </text>
    </comment>
    <comment ref="AJ43" authorId="0" shapeId="0">
      <text>
        <r>
          <rPr>
            <b/>
            <sz val="9"/>
            <color indexed="81"/>
            <rFont val="Tahoma"/>
            <family val="2"/>
          </rPr>
          <t>تنش موجود در زیر کف ستون</t>
        </r>
      </text>
    </comment>
    <comment ref="AL43" authorId="0" shapeId="0">
      <text>
        <r>
          <rPr>
            <b/>
            <sz val="9"/>
            <color indexed="81"/>
            <rFont val="Tahoma"/>
            <family val="2"/>
          </rPr>
          <t>تنش مجاز در زیر کف ستون</t>
        </r>
        <r>
          <rPr>
            <sz val="9"/>
            <color indexed="81"/>
            <rFont val="Tahoma"/>
            <family val="2"/>
          </rPr>
          <t xml:space="preserve">
</t>
        </r>
      </text>
    </comment>
    <comment ref="B44" authorId="0" shapeId="0">
      <text>
        <r>
          <rPr>
            <b/>
            <sz val="9"/>
            <color indexed="81"/>
            <rFont val="Tahoma"/>
          </rPr>
          <t>بعد عمود بر عرض مقطع مورد بررسی</t>
        </r>
      </text>
    </comment>
    <comment ref="D44" authorId="0" shapeId="0">
      <text>
        <r>
          <rPr>
            <b/>
            <sz val="9"/>
            <color indexed="81"/>
            <rFont val="Tahoma"/>
            <family val="2"/>
          </rPr>
          <t>ضریب بازرسی جوش:
در صورت انجام آزمایش های غیر مخرب=1
در صورت انجام جوش در کارخانه و بازرسی چشمی=0.85
در صورت انجام جوش در محل و بازرسی چشمی=0.75</t>
        </r>
      </text>
    </comment>
    <comment ref="F44" authorId="0" shapeId="0">
      <text>
        <r>
          <rPr>
            <b/>
            <sz val="9"/>
            <color indexed="81"/>
            <rFont val="Tahoma"/>
            <family val="2"/>
          </rPr>
          <t>مقاومت نهایی کششی فلز الکترود</t>
        </r>
      </text>
    </comment>
    <comment ref="H44" authorId="0" shapeId="0">
      <text>
        <r>
          <rPr>
            <b/>
            <sz val="9"/>
            <color indexed="81"/>
            <rFont val="Tahoma"/>
            <family val="2"/>
          </rPr>
          <t>جریان ناشی از برش(تنش زیر کف ستون) در روی کف ستون(kg/cm)</t>
        </r>
      </text>
    </comment>
    <comment ref="J44" authorId="0" shapeId="0">
      <text>
        <r>
          <rPr>
            <b/>
            <sz val="9"/>
            <color indexed="81"/>
            <rFont val="Tahoma"/>
          </rPr>
          <t xml:space="preserve">ممان استاتیک </t>
        </r>
      </text>
    </comment>
    <comment ref="Q44" authorId="0" shapeId="0">
      <text>
        <r>
          <rPr>
            <b/>
            <sz val="9"/>
            <color indexed="81"/>
            <rFont val="Tahoma"/>
          </rPr>
          <t>بعد عمود بر عرض مقطع مورد بررسی</t>
        </r>
      </text>
    </comment>
    <comment ref="S44" authorId="0" shapeId="0">
      <text>
        <r>
          <rPr>
            <b/>
            <sz val="9"/>
            <color indexed="81"/>
            <rFont val="Tahoma"/>
            <family val="2"/>
          </rPr>
          <t>ضریب بازرسی جوش:
در صورت انجام آزمایش های غیر مخرب=1
در صورت انجام جوش در کارخانه و بازرسی چشمی=0.85
در صورت انجام جوش در محل و بازرسی چشمی=0.75</t>
        </r>
      </text>
    </comment>
    <comment ref="U44" authorId="0" shapeId="0">
      <text>
        <r>
          <rPr>
            <b/>
            <sz val="9"/>
            <color indexed="81"/>
            <rFont val="Tahoma"/>
            <family val="2"/>
          </rPr>
          <t>مقاومت نهایی کششی فلز الکترود</t>
        </r>
      </text>
    </comment>
    <comment ref="W44" authorId="0" shapeId="0">
      <text>
        <r>
          <rPr>
            <b/>
            <sz val="9"/>
            <color indexed="81"/>
            <rFont val="Tahoma"/>
            <family val="2"/>
          </rPr>
          <t>جریان ناشی از برش(تنش زیر کف ستون) در روی کف ستون(kg/cm)</t>
        </r>
      </text>
    </comment>
    <comment ref="Y44" authorId="0" shapeId="0">
      <text>
        <r>
          <rPr>
            <b/>
            <sz val="9"/>
            <color indexed="81"/>
            <rFont val="Tahoma"/>
          </rPr>
          <t xml:space="preserve">ممان استاتیک </t>
        </r>
      </text>
    </comment>
    <comment ref="AL44" authorId="0" shapeId="0">
      <text>
        <r>
          <rPr>
            <b/>
            <sz val="9"/>
            <color indexed="81"/>
            <rFont val="Tahoma"/>
          </rPr>
          <t>ضخامت نهایی انتخاب شده را وارد کنید</t>
        </r>
      </text>
    </comment>
    <comment ref="B45" authorId="0" shapeId="0">
      <text>
        <r>
          <rPr>
            <b/>
            <sz val="9"/>
            <color indexed="81"/>
            <rFont val="Tahoma"/>
          </rPr>
          <t>محور خنثی</t>
        </r>
      </text>
    </comment>
    <comment ref="D45" authorId="0" shapeId="0">
      <text>
        <r>
          <rPr>
            <b/>
            <sz val="9"/>
            <color indexed="81"/>
            <rFont val="Tahoma"/>
          </rPr>
          <t>ممان اینرسی مقطع</t>
        </r>
      </text>
    </comment>
    <comment ref="F45" authorId="0" shapeId="0">
      <text>
        <r>
          <rPr>
            <b/>
            <sz val="9"/>
            <color indexed="81"/>
            <rFont val="Tahoma"/>
          </rPr>
          <t>اساس مقطع پلاستیک</t>
        </r>
      </text>
    </comment>
    <comment ref="I45" authorId="0" shapeId="0">
      <text>
        <r>
          <rPr>
            <b/>
            <sz val="9"/>
            <color indexed="81"/>
            <rFont val="Tahoma"/>
            <family val="2"/>
          </rPr>
          <t>براساس فلز جوش و نیروی برشی وطول واحدجوش</t>
        </r>
      </text>
    </comment>
    <comment ref="Q45" authorId="0" shapeId="0">
      <text>
        <r>
          <rPr>
            <b/>
            <sz val="9"/>
            <color indexed="81"/>
            <rFont val="Tahoma"/>
          </rPr>
          <t>محور خنثی</t>
        </r>
      </text>
    </comment>
    <comment ref="S45" authorId="0" shapeId="0">
      <text>
        <r>
          <rPr>
            <b/>
            <sz val="9"/>
            <color indexed="81"/>
            <rFont val="Tahoma"/>
          </rPr>
          <t>ممان اینرسی مقطع</t>
        </r>
      </text>
    </comment>
    <comment ref="U45" authorId="0" shapeId="0">
      <text>
        <r>
          <rPr>
            <b/>
            <sz val="9"/>
            <color indexed="81"/>
            <rFont val="Tahoma"/>
          </rPr>
          <t>اساس مقطع پلاستیک</t>
        </r>
      </text>
    </comment>
    <comment ref="X45" authorId="0" shapeId="0">
      <text>
        <r>
          <rPr>
            <b/>
            <sz val="9"/>
            <color indexed="81"/>
            <rFont val="Tahoma"/>
            <family val="2"/>
          </rPr>
          <t>براساس فلز جوش و نیروی برشی وطول واحدجوش</t>
        </r>
      </text>
    </comment>
    <comment ref="AH47" authorId="0" shapeId="0">
      <text>
        <r>
          <rPr>
            <b/>
            <sz val="9"/>
            <color indexed="81"/>
            <rFont val="Tahoma"/>
          </rPr>
          <t>ارتفاع سخت کننده</t>
        </r>
      </text>
    </comment>
    <comment ref="AJ47" authorId="0" shapeId="0">
      <text>
        <r>
          <rPr>
            <b/>
            <sz val="9"/>
            <color indexed="81"/>
            <rFont val="Tahoma"/>
          </rPr>
          <t>ضخامت سخت کننده</t>
        </r>
      </text>
    </comment>
    <comment ref="C48" authorId="0" shapeId="0">
      <text>
        <r>
          <rPr>
            <b/>
            <sz val="9"/>
            <color indexed="81"/>
            <rFont val="Tahoma"/>
            <family val="2"/>
          </rPr>
          <t>با فرض cv=1
وفرض معادل بودن مقطع(کف ستون+سخت کننده ها)</t>
        </r>
      </text>
    </comment>
    <comment ref="R48" authorId="0" shapeId="0">
      <text>
        <r>
          <rPr>
            <b/>
            <sz val="9"/>
            <color indexed="81"/>
            <rFont val="Tahoma"/>
            <family val="2"/>
          </rPr>
          <t>با فرض cv=1
وفرض معادل بودن مقطع(کف ستون+سخت کننده ها)</t>
        </r>
      </text>
    </comment>
    <comment ref="AF48" authorId="0" shapeId="0">
      <text>
        <r>
          <rPr>
            <b/>
            <sz val="9"/>
            <color indexed="81"/>
            <rFont val="Tahoma"/>
            <family val="2"/>
          </rPr>
          <t>عرض بیس پلیت در مقطع مورد بررسی</t>
        </r>
      </text>
    </comment>
    <comment ref="AF49" authorId="0" shapeId="0">
      <text>
        <r>
          <rPr>
            <b/>
            <sz val="9"/>
            <color indexed="81"/>
            <rFont val="Tahoma"/>
          </rPr>
          <t>بعد عمود بر عرض مقطع مورد بررسی</t>
        </r>
      </text>
    </comment>
    <comment ref="AH49" authorId="0" shapeId="0">
      <text>
        <r>
          <rPr>
            <b/>
            <sz val="9"/>
            <color indexed="81"/>
            <rFont val="Tahoma"/>
            <family val="2"/>
          </rPr>
          <t>ضریب بازرسی جوش:
در صورت انجام آزمایش های غیر مخرب=1
در صورت انجام جوش در کارخانه و بازرسی چشمی=0.85
در صورت انجام جوش در محل و بازرسی چشمی=0.75</t>
        </r>
      </text>
    </comment>
    <comment ref="AJ49" authorId="0" shapeId="0">
      <text>
        <r>
          <rPr>
            <b/>
            <sz val="9"/>
            <color indexed="81"/>
            <rFont val="Tahoma"/>
            <family val="2"/>
          </rPr>
          <t>مقاومت نهایی کششی فلز الکترود</t>
        </r>
      </text>
    </comment>
    <comment ref="AL49" authorId="0" shapeId="0">
      <text>
        <r>
          <rPr>
            <b/>
            <sz val="9"/>
            <color indexed="81"/>
            <rFont val="Tahoma"/>
            <family val="2"/>
          </rPr>
          <t>جریان ناشی از برش(تنش زیر کف ستون) در روی کف ستون(kg/cm)</t>
        </r>
      </text>
    </comment>
    <comment ref="AN49" authorId="0" shapeId="0">
      <text>
        <r>
          <rPr>
            <b/>
            <sz val="9"/>
            <color indexed="81"/>
            <rFont val="Tahoma"/>
          </rPr>
          <t xml:space="preserve">ممان استاتیک </t>
        </r>
      </text>
    </comment>
    <comment ref="AF50" authorId="0" shapeId="0">
      <text>
        <r>
          <rPr>
            <b/>
            <sz val="9"/>
            <color indexed="81"/>
            <rFont val="Tahoma"/>
          </rPr>
          <t>محور خنثی</t>
        </r>
      </text>
    </comment>
    <comment ref="AH50" authorId="0" shapeId="0">
      <text>
        <r>
          <rPr>
            <b/>
            <sz val="9"/>
            <color indexed="81"/>
            <rFont val="Tahoma"/>
          </rPr>
          <t>ممان اینرسی مقطع</t>
        </r>
      </text>
    </comment>
    <comment ref="AJ50" authorId="0" shapeId="0">
      <text>
        <r>
          <rPr>
            <b/>
            <sz val="9"/>
            <color indexed="81"/>
            <rFont val="Tahoma"/>
          </rPr>
          <t>اساس مقطع پلاستیک</t>
        </r>
      </text>
    </comment>
    <comment ref="AM50" authorId="0" shapeId="0">
      <text>
        <r>
          <rPr>
            <b/>
            <sz val="9"/>
            <color indexed="81"/>
            <rFont val="Tahoma"/>
            <family val="2"/>
          </rPr>
          <t>براساس فلز جوش و نیروی برشی وطول واحدجوش</t>
        </r>
      </text>
    </comment>
    <comment ref="AG53" authorId="0" shapeId="0">
      <text>
        <r>
          <rPr>
            <b/>
            <sz val="9"/>
            <color indexed="81"/>
            <rFont val="Tahoma"/>
            <family val="2"/>
          </rPr>
          <t>با فرض cv=1
وفرض معادل بودن مقطع(کف ستون+سخت کننده ها)</t>
        </r>
      </text>
    </comment>
    <comment ref="H56" authorId="0" shapeId="0">
      <text>
        <r>
          <rPr>
            <b/>
            <sz val="9"/>
            <color indexed="81"/>
            <rFont val="Tahoma"/>
            <family val="2"/>
          </rPr>
          <t>نیروی کششی وارد بر بولت ها</t>
        </r>
      </text>
    </comment>
    <comment ref="J56" authorId="0" shapeId="0">
      <text>
        <r>
          <rPr>
            <b/>
            <sz val="9"/>
            <color indexed="81"/>
            <rFont val="Tahoma"/>
            <family val="2"/>
          </rPr>
          <t>مقاومت کششی اسمی مطابق جدول روبرو</t>
        </r>
      </text>
    </comment>
    <comment ref="L56" authorId="0" shapeId="0">
      <text>
        <r>
          <rPr>
            <b/>
            <sz val="9"/>
            <color indexed="81"/>
            <rFont val="Tahoma"/>
            <family val="2"/>
          </rPr>
          <t>مقاومت برشی اسمی مطابق جدول روبرو</t>
        </r>
        <r>
          <rPr>
            <sz val="9"/>
            <color indexed="81"/>
            <rFont val="Tahoma"/>
            <family val="2"/>
          </rPr>
          <t xml:space="preserve">
</t>
        </r>
      </text>
    </comment>
    <comment ref="N56" authorId="0" shapeId="0">
      <text>
        <r>
          <rPr>
            <b/>
            <sz val="9"/>
            <color indexed="81"/>
            <rFont val="Tahoma"/>
            <family val="2"/>
          </rPr>
          <t>ضخامت کف ستون</t>
        </r>
      </text>
    </comment>
    <comment ref="P56" authorId="0" shapeId="0">
      <text>
        <r>
          <rPr>
            <b/>
            <sz val="9"/>
            <color indexed="81"/>
            <rFont val="Tahoma"/>
            <family val="2"/>
          </rPr>
          <t>تنش نهایی بولت</t>
        </r>
      </text>
    </comment>
    <comment ref="S56" authorId="0" shapeId="0">
      <text>
        <r>
          <rPr>
            <b/>
            <sz val="9"/>
            <color indexed="81"/>
            <rFont val="Tahoma"/>
            <family val="2"/>
          </rPr>
          <t>تعداد بولت های کششی</t>
        </r>
        <r>
          <rPr>
            <sz val="9"/>
            <color indexed="81"/>
            <rFont val="Tahoma"/>
            <family val="2"/>
          </rPr>
          <t xml:space="preserve">
</t>
        </r>
      </text>
    </comment>
    <comment ref="AF56" authorId="0" shapeId="0">
      <text>
        <r>
          <rPr>
            <b/>
            <sz val="9"/>
            <color indexed="81"/>
            <rFont val="Tahoma"/>
            <family val="2"/>
          </rPr>
          <t>نیروی کششی وارد بر بولت ها ناشی از لنگر خمشی</t>
        </r>
      </text>
    </comment>
    <comment ref="AH56" authorId="0" shapeId="0">
      <text>
        <r>
          <rPr>
            <b/>
            <sz val="9"/>
            <color indexed="81"/>
            <rFont val="Tahoma"/>
            <family val="2"/>
          </rPr>
          <t>مقاومت کششی اسمی مطابق جدول روبرو</t>
        </r>
      </text>
    </comment>
    <comment ref="AJ56" authorId="0" shapeId="0">
      <text>
        <r>
          <rPr>
            <b/>
            <sz val="9"/>
            <color indexed="81"/>
            <rFont val="Tahoma"/>
            <family val="2"/>
          </rPr>
          <t>مقاومت برشی اسمی مطابق جدول روبرو</t>
        </r>
        <r>
          <rPr>
            <sz val="9"/>
            <color indexed="81"/>
            <rFont val="Tahoma"/>
            <family val="2"/>
          </rPr>
          <t xml:space="preserve">
</t>
        </r>
      </text>
    </comment>
    <comment ref="AL56" authorId="0" shapeId="0">
      <text>
        <r>
          <rPr>
            <b/>
            <sz val="9"/>
            <color indexed="81"/>
            <rFont val="Tahoma"/>
            <family val="2"/>
          </rPr>
          <t>ضخامت کف ستون</t>
        </r>
      </text>
    </comment>
    <comment ref="AO56" authorId="0" shapeId="0">
      <text>
        <r>
          <rPr>
            <b/>
            <sz val="9"/>
            <color indexed="81"/>
            <rFont val="Tahoma"/>
            <family val="2"/>
          </rPr>
          <t>تعداد بولت های کششی</t>
        </r>
        <r>
          <rPr>
            <sz val="9"/>
            <color indexed="81"/>
            <rFont val="Tahoma"/>
            <family val="2"/>
          </rPr>
          <t xml:space="preserve">
</t>
        </r>
      </text>
    </comment>
    <comment ref="AP56" authorId="0" shapeId="0">
      <text>
        <r>
          <rPr>
            <b/>
            <sz val="9"/>
            <color indexed="81"/>
            <rFont val="Tahoma"/>
            <family val="2"/>
          </rPr>
          <t>تنش نهایی بولت</t>
        </r>
      </text>
    </comment>
    <comment ref="H57" authorId="0" shapeId="0">
      <text>
        <r>
          <rPr>
            <b/>
            <sz val="9"/>
            <color indexed="81"/>
            <rFont val="Tahoma"/>
            <family val="2"/>
          </rPr>
          <t>نیروی برشی وارد بر بولت ها</t>
        </r>
      </text>
    </comment>
    <comment ref="J57" authorId="0" shapeId="0">
      <text>
        <r>
          <rPr>
            <b/>
            <sz val="9"/>
            <color indexed="81"/>
            <rFont val="Tahoma"/>
            <family val="2"/>
          </rPr>
          <t>تعداد کل بولت های مصرفی (ترجیحا متقارن)</t>
        </r>
      </text>
    </comment>
    <comment ref="L57" authorId="0" shapeId="0">
      <text>
        <r>
          <rPr>
            <b/>
            <sz val="9"/>
            <color indexed="81"/>
            <rFont val="Tahoma"/>
            <family val="2"/>
          </rPr>
          <t>بزرگتر یا مساوی 20mm</t>
        </r>
      </text>
    </comment>
    <comment ref="N57" authorId="0" shapeId="0">
      <text>
        <r>
          <rPr>
            <b/>
            <sz val="9"/>
            <color indexed="81"/>
            <rFont val="Tahoma"/>
            <family val="2"/>
          </rPr>
          <t>تعداد صفحات لغزش هر پیچ</t>
        </r>
      </text>
    </comment>
    <comment ref="P57" authorId="0" shapeId="0">
      <text>
        <r>
          <rPr>
            <b/>
            <sz val="9"/>
            <color indexed="81"/>
            <rFont val="Tahoma"/>
            <family val="2"/>
          </rPr>
          <t>ضریب اصطکاک:
برای سطح فلس دار تمیز و رنگ شده=0.3
برای سطح تمیز شده با ماسه پاشی و رنگ نشده=0.5</t>
        </r>
      </text>
    </comment>
    <comment ref="R57" authorId="0" shapeId="0">
      <text>
        <r>
          <rPr>
            <b/>
            <sz val="9"/>
            <color indexed="81"/>
            <rFont val="Tahoma"/>
            <family val="2"/>
          </rPr>
          <t>ضریب اثر ورق های پرکننده بین قطعات اتصال:
در صورت استفاده و یا عدم استفاده از ورق پرکننده=1
در صورت استفاده از دو یا تعداد بیشتری از ورق های پرکننده=0.85</t>
        </r>
      </text>
    </comment>
    <comment ref="AF57" authorId="0" shapeId="0">
      <text>
        <r>
          <rPr>
            <b/>
            <sz val="9"/>
            <color indexed="81"/>
            <rFont val="Tahoma"/>
            <family val="2"/>
          </rPr>
          <t>نیروی برشی وارد بر بولت ها</t>
        </r>
      </text>
    </comment>
    <comment ref="AH57" authorId="0" shapeId="0">
      <text>
        <r>
          <rPr>
            <b/>
            <sz val="9"/>
            <color indexed="81"/>
            <rFont val="Tahoma"/>
            <family val="2"/>
          </rPr>
          <t>تعداد کل بولت های مصرفی (ترجیحا متقارن)</t>
        </r>
      </text>
    </comment>
    <comment ref="AI57" authorId="0" shapeId="0">
      <text>
        <r>
          <rPr>
            <b/>
            <sz val="9"/>
            <color indexed="81"/>
            <rFont val="Tahoma"/>
            <family val="2"/>
          </rPr>
          <t>تعداد کل بولت ها</t>
        </r>
      </text>
    </comment>
    <comment ref="AJ57" authorId="0" shapeId="0">
      <text>
        <r>
          <rPr>
            <b/>
            <sz val="9"/>
            <color indexed="81"/>
            <rFont val="Tahoma"/>
            <family val="2"/>
          </rPr>
          <t>بزرگتر یا مساوی 20mm</t>
        </r>
      </text>
    </comment>
    <comment ref="AL57" authorId="0" shapeId="0">
      <text>
        <r>
          <rPr>
            <b/>
            <sz val="9"/>
            <color indexed="81"/>
            <rFont val="Tahoma"/>
            <family val="2"/>
          </rPr>
          <t>تعداد صفحات لغزش هر پیچ</t>
        </r>
      </text>
    </comment>
    <comment ref="AN57" authorId="0" shapeId="0">
      <text>
        <r>
          <rPr>
            <b/>
            <sz val="9"/>
            <color indexed="81"/>
            <rFont val="Tahoma"/>
            <family val="2"/>
          </rPr>
          <t>ضریب اصطکاک:
برای سطح فلس دار تمیز و رنگ شده=0.3
برای سطح تمیز شده با ماسه پاشی و رنگ نشده=0.5</t>
        </r>
      </text>
    </comment>
    <comment ref="AP57" authorId="0" shapeId="0">
      <text>
        <r>
          <rPr>
            <b/>
            <sz val="9"/>
            <color indexed="81"/>
            <rFont val="Tahoma"/>
            <family val="2"/>
          </rPr>
          <t>ضریب اثر ورق های پرکننده بین قطعات اتصال:
در صورت استفاده و یا عدم استفاده از ورق پرکننده=1
در صورت استفاده از دو یا تعداد بیشتری از ورق های پرکننده=0.85</t>
        </r>
      </text>
    </comment>
    <comment ref="J58" authorId="0" shapeId="0">
      <text>
        <r>
          <rPr>
            <b/>
            <sz val="9"/>
            <color indexed="81"/>
            <rFont val="Tahoma"/>
            <family val="2"/>
          </rPr>
          <t>ضریب کاهش مقاوت در اتصالات اصطکاکی:
برای سوراخ های استاندارد و لوبیایی کوتاه در امتداد عمود بر راستای نیرو=1
برای سوراخ های بزرگ شده و لوبیایی کوتاه در امتداد موازی با راستای نیرو=0.85
برای سوراخ های لوبیایی بلند=0.7</t>
        </r>
      </text>
    </comment>
    <comment ref="AC58" authorId="0" shapeId="0">
      <text>
        <r>
          <rPr>
            <b/>
            <sz val="9"/>
            <color indexed="81"/>
            <rFont val="Tahoma"/>
            <family val="2"/>
          </rPr>
          <t>تنش نهایی بولت</t>
        </r>
      </text>
    </comment>
    <comment ref="AF58" authorId="0" shapeId="0">
      <text>
        <r>
          <rPr>
            <b/>
            <sz val="9"/>
            <color indexed="81"/>
            <rFont val="Tahoma"/>
            <family val="2"/>
          </rPr>
          <t>نیروی کششی وارد بر بولت ها ناشی از عوامل دیگر(اجرایی و ....) در صورت وجود</t>
        </r>
      </text>
    </comment>
    <comment ref="AH59" authorId="0" shapeId="0">
      <text>
        <r>
          <rPr>
            <b/>
            <sz val="9"/>
            <color indexed="81"/>
            <rFont val="Tahoma"/>
            <family val="2"/>
          </rPr>
          <t>ضریب کاهش مقاوت در اتصالات اصطکاکی:
برای سوراخ های استاندارد و لوبیایی کوتاه در امتداد عمود بر راستای نیرو=1
برای سوراخ های بزرگ شده و لوبیایی کوتاه در امتداد موازی با راستای نیرو=0.85
برای سوراخ های لوبیایی بلند=0.7</t>
        </r>
      </text>
    </comment>
    <comment ref="I62" authorId="0" shapeId="0">
      <text>
        <r>
          <rPr>
            <b/>
            <sz val="9"/>
            <color indexed="81"/>
            <rFont val="Tahoma"/>
            <family val="2"/>
          </rPr>
          <t>مقاومت برشی طراحی</t>
        </r>
      </text>
    </comment>
    <comment ref="N62" authorId="0" shapeId="0">
      <text>
        <r>
          <rPr>
            <b/>
            <sz val="9"/>
            <color indexed="81"/>
            <rFont val="Tahoma"/>
            <family val="2"/>
          </rPr>
          <t>مقاومت برشی طراحی</t>
        </r>
      </text>
    </comment>
    <comment ref="AH63" authorId="0" shapeId="0">
      <text>
        <r>
          <rPr>
            <b/>
            <sz val="9"/>
            <color indexed="81"/>
            <rFont val="Tahoma"/>
            <family val="2"/>
          </rPr>
          <t>مقاومت برشی طراحی</t>
        </r>
      </text>
    </comment>
    <comment ref="AM63" authorId="0" shapeId="0">
      <text>
        <r>
          <rPr>
            <b/>
            <sz val="9"/>
            <color indexed="81"/>
            <rFont val="Tahoma"/>
            <family val="2"/>
          </rPr>
          <t>مقاومت برشی طراحی</t>
        </r>
      </text>
    </comment>
    <comment ref="I64" authorId="0" shapeId="0">
      <text>
        <r>
          <rPr>
            <b/>
            <sz val="9"/>
            <color indexed="81"/>
            <rFont val="Tahoma"/>
            <family val="2"/>
          </rPr>
          <t>مقاومت کششی طراحی
(توجه:ممکن است بخواهیم تنها تعدادی از بولت های در نظر گرفته شده برای کف ستون را از لحظ کشش بررسی کنیم در اینصورت در مقدار n باید تجدید نظر شود)</t>
        </r>
      </text>
    </comment>
    <comment ref="N64" authorId="0" shapeId="0">
      <text>
        <r>
          <rPr>
            <b/>
            <sz val="9"/>
            <color indexed="81"/>
            <rFont val="Tahoma"/>
            <family val="2"/>
          </rPr>
          <t>مقاومت کششی طراحی
(توجه:ممکن است بخواهیم تنها تعدادی از بولت های در نظر گرفته شده برای کف ستون را از لحظ کشش بررسی کنیم در اینصورت در مقدار n باید تجدید نظر شود)</t>
        </r>
      </text>
    </comment>
    <comment ref="AH65" authorId="0" shapeId="0">
      <text>
        <r>
          <rPr>
            <b/>
            <sz val="9"/>
            <color indexed="81"/>
            <rFont val="Tahoma"/>
            <family val="2"/>
          </rPr>
          <t>مقاومت کششی طراحی
(توجه:ممکن است بخواهیم تنها تعدادی از بولت های در نظر گرفته شده برای کف ستون را از لحظ کشش بررسی کنیم در اینصورت در مقدار n باید تجدید نظر شود)</t>
        </r>
      </text>
    </comment>
    <comment ref="AM65" authorId="0" shapeId="0">
      <text>
        <r>
          <rPr>
            <b/>
            <sz val="9"/>
            <color indexed="81"/>
            <rFont val="Tahoma"/>
            <family val="2"/>
          </rPr>
          <t>مقاومت کششی طراحی
(توجه:ممکن است بخواهیم تنها تعدادی از بولت های در نظر گرفته شده برای کف ستون را از لحظ کشش بررسی کنیم در اینصورت در مقدار n باید تجدید نظر شود)</t>
        </r>
      </text>
    </comment>
    <comment ref="L73" authorId="0" shapeId="0">
      <text>
        <r>
          <rPr>
            <b/>
            <sz val="9"/>
            <color indexed="81"/>
            <rFont val="Tahoma"/>
            <family val="2"/>
          </rPr>
          <t>مقاومت برشی طراحی</t>
        </r>
      </text>
    </comment>
    <comment ref="AK74" authorId="0" shapeId="0">
      <text>
        <r>
          <rPr>
            <b/>
            <sz val="9"/>
            <color indexed="81"/>
            <rFont val="Tahoma"/>
            <family val="2"/>
          </rPr>
          <t>مقاومت برشی طراحی</t>
        </r>
      </text>
    </comment>
    <comment ref="L75" authorId="0" shapeId="0">
      <text>
        <r>
          <rPr>
            <b/>
            <sz val="9"/>
            <color indexed="81"/>
            <rFont val="Tahoma"/>
            <family val="2"/>
          </rPr>
          <t>مقاومت برشی طراحی</t>
        </r>
      </text>
    </comment>
    <comment ref="AF77" authorId="0" shapeId="0">
      <text>
        <r>
          <rPr>
            <b/>
            <sz val="9"/>
            <color indexed="81"/>
            <rFont val="Tahoma"/>
            <family val="2"/>
          </rPr>
          <t>بزرگتر یا مساوی 20mm</t>
        </r>
      </text>
    </comment>
    <comment ref="AH77" authorId="0" shapeId="0">
      <text>
        <r>
          <rPr>
            <b/>
            <sz val="9"/>
            <color indexed="81"/>
            <rFont val="Tahoma"/>
            <family val="2"/>
          </rPr>
          <t>برای میلگرد های بدون روکش اپوکسی برابر 1،برای میلگردهای دارای روکش اپوکسی به ضخامت کمتر از 3برابر قطر میلگردها برابر 1.5 وبرای سایر میلگرد های دارای روکش اپوکسی برابر 1.2 می باشد.</t>
        </r>
      </text>
    </comment>
    <comment ref="AJ77" authorId="0" shapeId="0">
      <text>
        <r>
          <rPr>
            <b/>
            <sz val="9"/>
            <color indexed="81"/>
            <rFont val="Tahoma"/>
            <family val="2"/>
          </rPr>
          <t>برای بتن سبک برابر 1.3 و برای بتن معمولی برابر 1 میباشد.</t>
        </r>
        <r>
          <rPr>
            <sz val="9"/>
            <color indexed="81"/>
            <rFont val="Tahoma"/>
            <family val="2"/>
          </rPr>
          <t xml:space="preserve">
</t>
        </r>
      </text>
    </comment>
    <comment ref="AN77" authorId="0" shapeId="0">
      <text>
        <r>
          <rPr>
            <b/>
            <sz val="9"/>
            <color indexed="81"/>
            <rFont val="Tahoma"/>
            <family val="2"/>
          </rPr>
          <t>در تمامی موارد برابر 1 می باشد،بجز در مواردی که پوشش جانبی عمود بر صفحه قلاب برابر 65میلیمتر و پوشش در انتهای قلاب نیز حداقل50میلیمتر باشد که در این حالت برابر 0.7 در نظر گرفته می شود.</t>
        </r>
        <r>
          <rPr>
            <sz val="9"/>
            <color indexed="81"/>
            <rFont val="Tahoma"/>
            <family val="2"/>
          </rPr>
          <t xml:space="preserve">
</t>
        </r>
      </text>
    </comment>
    <comment ref="AP77" authorId="0" shapeId="0">
      <text>
        <r>
          <rPr>
            <b/>
            <sz val="9"/>
            <color indexed="81"/>
            <rFont val="Tahoma"/>
            <family val="2"/>
          </rPr>
          <t>در تمامی موارد برابر 1 مگر در حالتی که میلگرد ها در طول مهاری با خاموت هایی به فاصله مساوی یا کمتر از 3db محصور باشند که در اینصورت برابر 0.8 فرض میگردد.</t>
        </r>
      </text>
    </comment>
    <comment ref="H78" authorId="0" shapeId="0">
      <text>
        <r>
          <rPr>
            <b/>
            <sz val="9"/>
            <color indexed="81"/>
            <rFont val="Tahoma"/>
            <family val="2"/>
          </rPr>
          <t>بزرگتر یا مساوی 20mm</t>
        </r>
      </text>
    </comment>
    <comment ref="J78" authorId="0" shapeId="0">
      <text>
        <r>
          <rPr>
            <b/>
            <sz val="9"/>
            <color indexed="81"/>
            <rFont val="Tahoma"/>
            <family val="2"/>
          </rPr>
          <t>برای میلگرد های بدون روکش اپوکسی برابر 1،برای میلگردهای دارای روکش اپوکسی به ضخامت کمتر از 3برابر قطر میلگردها برابر 1.5 وبرای سایر میلگرد های دارای روکش اپوکسی برابر 1.2 می باشد.</t>
        </r>
      </text>
    </comment>
    <comment ref="L78" authorId="0" shapeId="0">
      <text>
        <r>
          <rPr>
            <b/>
            <sz val="9"/>
            <color indexed="81"/>
            <rFont val="Tahoma"/>
            <family val="2"/>
          </rPr>
          <t>برای بتن سبک برابر 1.3 و برای بتن معمولی برابر 1 میباشد.</t>
        </r>
        <r>
          <rPr>
            <sz val="9"/>
            <color indexed="81"/>
            <rFont val="Tahoma"/>
            <family val="2"/>
          </rPr>
          <t xml:space="preserve">
</t>
        </r>
      </text>
    </comment>
    <comment ref="P78" authorId="0" shapeId="0">
      <text>
        <r>
          <rPr>
            <b/>
            <sz val="9"/>
            <color indexed="81"/>
            <rFont val="Tahoma"/>
            <family val="2"/>
          </rPr>
          <t>در تمامی موارد برابر 1 می باشد،بجز در مواردی که پوشش جانبی عمود بر صفحه قلاب برابر 65میلیمتر و پوشش در انتهای قلاب نیز حداقل50میلیمتر باشد که در این حالت برابر 0.7 در نظر گرفته می شود.</t>
        </r>
        <r>
          <rPr>
            <sz val="9"/>
            <color indexed="81"/>
            <rFont val="Tahoma"/>
            <family val="2"/>
          </rPr>
          <t xml:space="preserve">
</t>
        </r>
      </text>
    </comment>
    <comment ref="R78" authorId="0" shapeId="0">
      <text>
        <r>
          <rPr>
            <b/>
            <sz val="9"/>
            <color indexed="81"/>
            <rFont val="Tahoma"/>
            <family val="2"/>
          </rPr>
          <t>در تمامی موارد برابر 1 مگر در حالتی که میلگرد ها در طول مهاری با خاموت هایی به فاصله مساوی یا کمتر از 3db محصور باشند که در اینصورت برابر 0.8 فرض میگردد.</t>
        </r>
      </text>
    </comment>
    <comment ref="AP78" authorId="0" shapeId="0">
      <text>
        <r>
          <rPr>
            <b/>
            <sz val="9"/>
            <color indexed="81"/>
            <rFont val="Tahoma"/>
            <family val="2"/>
          </rPr>
          <t>در صورتیکه درطولl</t>
        </r>
        <r>
          <rPr>
            <b/>
            <sz val="8"/>
            <color indexed="81"/>
            <rFont val="Tahoma"/>
            <family val="2"/>
          </rPr>
          <t xml:space="preserve">dc </t>
        </r>
        <r>
          <rPr>
            <b/>
            <sz val="9"/>
            <color indexed="81"/>
            <rFont val="Tahoma"/>
            <family val="2"/>
          </rPr>
          <t>ازخاموت به قطرحداقل12و فاصله حداکثر100استفاده شده باشد.</t>
        </r>
      </text>
    </comment>
    <comment ref="R79" authorId="0" shapeId="0">
      <text>
        <r>
          <rPr>
            <b/>
            <sz val="9"/>
            <color indexed="81"/>
            <rFont val="Tahoma"/>
            <family val="2"/>
          </rPr>
          <t>در صورتیکه درطولl</t>
        </r>
        <r>
          <rPr>
            <b/>
            <sz val="8"/>
            <color indexed="81"/>
            <rFont val="Tahoma"/>
            <family val="2"/>
          </rPr>
          <t xml:space="preserve">dc </t>
        </r>
        <r>
          <rPr>
            <b/>
            <sz val="9"/>
            <color indexed="81"/>
            <rFont val="Tahoma"/>
            <family val="2"/>
          </rPr>
          <t>ازخاموت به قطرحداقل12و فاصله حداکثر100استفاده شده باشد.</t>
        </r>
      </text>
    </comment>
    <comment ref="AL84" authorId="0" shapeId="0">
      <text>
        <r>
          <rPr>
            <b/>
            <sz val="9"/>
            <color indexed="81"/>
            <rFont val="Tahoma"/>
            <family val="2"/>
          </rPr>
          <t>عرض بیس پلیت در امتداد مورد بررسی</t>
        </r>
      </text>
    </comment>
    <comment ref="AN84" authorId="0" shapeId="0">
      <text>
        <r>
          <rPr>
            <b/>
            <sz val="9"/>
            <color indexed="81"/>
            <rFont val="Tahoma"/>
            <family val="2"/>
          </rPr>
          <t>تعداد بولت های مصرفی در امتداد مورد بررسی</t>
        </r>
      </text>
    </comment>
    <comment ref="N85" authorId="0" shapeId="0">
      <text>
        <r>
          <rPr>
            <b/>
            <sz val="9"/>
            <color indexed="81"/>
            <rFont val="Tahoma"/>
            <family val="2"/>
          </rPr>
          <t>عرض بیس پلیت در امتداد مورد بررسی</t>
        </r>
      </text>
    </comment>
    <comment ref="P85" authorId="0" shapeId="0">
      <text>
        <r>
          <rPr>
            <b/>
            <sz val="9"/>
            <color indexed="81"/>
            <rFont val="Tahoma"/>
            <family val="2"/>
          </rPr>
          <t>تعداد بولت های مصرفی در امتداد مورد بررسی</t>
        </r>
      </text>
    </comment>
  </commentList>
</comments>
</file>

<file path=xl/sharedStrings.xml><?xml version="1.0" encoding="utf-8"?>
<sst xmlns="http://schemas.openxmlformats.org/spreadsheetml/2006/main" count="754" uniqueCount="288">
  <si>
    <t>Φc=</t>
  </si>
  <si>
    <t>m=</t>
  </si>
  <si>
    <t>n=</t>
  </si>
  <si>
    <t>B=</t>
  </si>
  <si>
    <t>d=</t>
  </si>
  <si>
    <t>b=</t>
  </si>
  <si>
    <t>&gt;&gt;&gt;</t>
  </si>
  <si>
    <t>control &gt;&gt;</t>
  </si>
  <si>
    <t>&gt;&gt;</t>
  </si>
  <si>
    <t>بهتر است که مقدار m و n به هم نزدیک و مساوی باشند. برای این منظور میتوان مقدار B , N را تغییر داد.</t>
  </si>
  <si>
    <t>fy=</t>
  </si>
  <si>
    <t>Φ=</t>
  </si>
  <si>
    <t>مساوی</t>
  </si>
  <si>
    <t>Fnv</t>
  </si>
  <si>
    <t>حالت</t>
  </si>
  <si>
    <t>نوع وسیله اتصال</t>
  </si>
  <si>
    <t>1-0.45Fu</t>
  </si>
  <si>
    <t>پیچ های معمولی</t>
  </si>
  <si>
    <t>2-0.45Fu</t>
  </si>
  <si>
    <t>پیچ های پرمقاومت که سطح برش از قسمت دندانه شده می گذرد</t>
  </si>
  <si>
    <t>3-0.55Fu</t>
  </si>
  <si>
    <t>پیچ های پرمقاومت که سطح برش از قسمت دندانه شده نمی گذرد</t>
  </si>
  <si>
    <t>4-0.45Fu</t>
  </si>
  <si>
    <t>قطعات دندانه شده که سطح برش از قسمت دندانه شده می گذرد</t>
  </si>
  <si>
    <t>5-0.55Fu</t>
  </si>
  <si>
    <t>قطعات دندانه شده که سطح برش از قسمت دندانه شده نمی گذرد</t>
  </si>
  <si>
    <r>
      <rPr>
        <b/>
        <sz val="11"/>
        <color theme="1"/>
        <rFont val="Calibri"/>
        <family val="2"/>
      </rPr>
      <t>F</t>
    </r>
    <r>
      <rPr>
        <b/>
        <sz val="10"/>
        <color theme="1"/>
        <rFont val="Calibri"/>
        <family val="2"/>
      </rPr>
      <t>u</t>
    </r>
    <r>
      <rPr>
        <b/>
        <sz val="11"/>
        <color theme="1"/>
        <rFont val="Calibri"/>
        <family val="2"/>
      </rPr>
      <t>=</t>
    </r>
  </si>
  <si>
    <t>قطر بولت=</t>
  </si>
  <si>
    <t>خمش</t>
  </si>
  <si>
    <t>برش</t>
  </si>
  <si>
    <t>Φv=</t>
  </si>
  <si>
    <t xml:space="preserve">  حالت حاکم برای انتخاب ضخامت کف ستون &gt;&gt;</t>
  </si>
  <si>
    <r>
      <rPr>
        <b/>
        <sz val="11"/>
        <color theme="1"/>
        <rFont val="Calibri"/>
        <family val="2"/>
      </rPr>
      <t>μ</t>
    </r>
    <r>
      <rPr>
        <b/>
        <sz val="11"/>
        <color theme="1"/>
        <rFont val="Arial Black"/>
        <family val="2"/>
      </rPr>
      <t>=</t>
    </r>
  </si>
  <si>
    <r>
      <t>h</t>
    </r>
    <r>
      <rPr>
        <b/>
        <sz val="8"/>
        <color theme="1"/>
        <rFont val="Arial Black"/>
        <family val="2"/>
      </rPr>
      <t>f=</t>
    </r>
  </si>
  <si>
    <t>e=</t>
  </si>
  <si>
    <t>e=Mu/Pu</t>
  </si>
  <si>
    <t>H بعد موثر =</t>
  </si>
  <si>
    <t>Mu=</t>
  </si>
  <si>
    <t>حالت1</t>
  </si>
  <si>
    <t>حالت3</t>
  </si>
  <si>
    <t>حالت2</t>
  </si>
  <si>
    <t>e'=</t>
  </si>
  <si>
    <t>x=</t>
  </si>
  <si>
    <t>use  t=</t>
  </si>
  <si>
    <t>ФRnv=Φ.Fnv.Anb=</t>
  </si>
  <si>
    <t>ФRnv=Ф.ns.Tb.hf.Du.μ =</t>
  </si>
  <si>
    <t>0.45Fu</t>
  </si>
  <si>
    <t>0.55Fu</t>
  </si>
  <si>
    <t>Fnt</t>
  </si>
  <si>
    <t>0.75Fu</t>
  </si>
  <si>
    <t>ФRnt=Φ.Fnt.Anb=</t>
  </si>
  <si>
    <t>ФRnv=Φ.F'nv.Anb=</t>
  </si>
  <si>
    <t>ФRnt=Φ.F'nt.Anb=</t>
  </si>
  <si>
    <t>ФRnv=Ф.ns.Tb.hf.Du.Ksc.μ =</t>
  </si>
  <si>
    <t>Ksc =</t>
  </si>
  <si>
    <t>ФRnv=2.4.Φ.d.t.Fu=</t>
  </si>
  <si>
    <t>ФRnv=2.Φ.d.t.Fu=</t>
  </si>
  <si>
    <t>سوراخ استاندارد و بزرگ شده</t>
  </si>
  <si>
    <t>سوراخ لوبیایی</t>
  </si>
  <si>
    <t>اثر مشترک  بند10-2-9-3-4</t>
  </si>
  <si>
    <t>اثر مشترک بند10-2-9-3-6</t>
  </si>
  <si>
    <t>اتصال پیچی اصطکاکی  بند10-2-9-3-5و10-2-9-3-3</t>
  </si>
  <si>
    <t>اتصال پیچی اتکایی بند10-2-9-3-3</t>
  </si>
  <si>
    <t>حا لت 1 &amp; 2</t>
  </si>
  <si>
    <t>fu=</t>
  </si>
  <si>
    <t>As=</t>
  </si>
  <si>
    <t>Es=</t>
  </si>
  <si>
    <t>Ec=</t>
  </si>
  <si>
    <t>n=Es/Ec=</t>
  </si>
  <si>
    <t>g=</t>
  </si>
  <si>
    <t>&lt;&lt; حل معادله درجه 3</t>
  </si>
  <si>
    <t>برای حل معادله از روش نیوتون استفاده می شود</t>
  </si>
  <si>
    <t>0&lt;x&lt;H</t>
  </si>
  <si>
    <t>Xn=</t>
  </si>
  <si>
    <t>Xn+1=</t>
  </si>
  <si>
    <t>به این صورت که عددی را برای xn در بازه 0تاH وارد کرده سپس با مقدارxn+1 مقایسه کرده و اینکار را تا برابرشدن مقدار ها ادامه می دهیم تا مقداری برای x بدست بیاید.</t>
  </si>
  <si>
    <t>&gt;&gt;   X=</t>
  </si>
  <si>
    <t>T=</t>
  </si>
  <si>
    <t>A2=</t>
  </si>
  <si>
    <t>Pu ≤Φc.Pp(=0.85fcA1((A2/A1)^1/2))≤1.7fcA1 :کنترل نیروی موجود</t>
  </si>
  <si>
    <t>Fp=</t>
  </si>
  <si>
    <t>l=</t>
  </si>
  <si>
    <t>خم 90درجه=</t>
  </si>
  <si>
    <t>K1=</t>
  </si>
  <si>
    <t>K2=</t>
  </si>
  <si>
    <t>c =</t>
  </si>
  <si>
    <t>M =</t>
  </si>
  <si>
    <t>a =</t>
  </si>
  <si>
    <t>b =</t>
  </si>
  <si>
    <t>Ma =</t>
  </si>
  <si>
    <t>Mb =</t>
  </si>
  <si>
    <t>M3 =</t>
  </si>
  <si>
    <t>a1/d1=</t>
  </si>
  <si>
    <t>ورق در هر چهار طرف تکیه دارد</t>
  </si>
  <si>
    <t>ضرایب</t>
  </si>
  <si>
    <t>نسبت a/b</t>
  </si>
  <si>
    <t>بالای 2</t>
  </si>
  <si>
    <t>ورق در سه طرف تکیه دارد</t>
  </si>
  <si>
    <t>d1=طول لبه آزاد ورق</t>
  </si>
  <si>
    <t>نسبت a1/d1</t>
  </si>
  <si>
    <t>Mطرح =</t>
  </si>
  <si>
    <t>t =</t>
  </si>
  <si>
    <t>a/b=</t>
  </si>
  <si>
    <t>fpu≤Fp</t>
  </si>
  <si>
    <t>حالت1(e≤H/6 برون محوری کوچک)</t>
  </si>
  <si>
    <t>حالت2(H/6&lt;e≤H/2 برون محوری متوسط)</t>
  </si>
  <si>
    <t>حا لت3</t>
  </si>
  <si>
    <t>t' =</t>
  </si>
  <si>
    <t>use  t'=</t>
  </si>
  <si>
    <t>Ix =</t>
  </si>
  <si>
    <t>Mمقطع=</t>
  </si>
  <si>
    <t>l =</t>
  </si>
  <si>
    <t>Zx =</t>
  </si>
  <si>
    <t>Vمقطع=</t>
  </si>
  <si>
    <t>حداکثر بعد جوش گوشه(cm)</t>
  </si>
  <si>
    <t>حداقل بعد جوش گوشه(cm)</t>
  </si>
  <si>
    <t>ضخامت قطعه نازکتر</t>
  </si>
  <si>
    <t>ضخامت قطعه نازکتر منهای 0.2سانتی متر</t>
  </si>
  <si>
    <t>تا0.6 سانتی متر</t>
  </si>
  <si>
    <t>برابر ضخامت قطعه نازکتر</t>
  </si>
  <si>
    <t xml:space="preserve">بیش از 0.6 تا 1.2 </t>
  </si>
  <si>
    <t>بیش از 1.2 تا 2</t>
  </si>
  <si>
    <t>بیش از 2</t>
  </si>
  <si>
    <t>حداقل بعد</t>
  </si>
  <si>
    <t xml:space="preserve">حداکثر بعد </t>
  </si>
  <si>
    <t>q =</t>
  </si>
  <si>
    <t>amin&amp;amax(cm)</t>
  </si>
  <si>
    <t>Fue</t>
  </si>
  <si>
    <t>نوع الکترود سازگار</t>
  </si>
  <si>
    <t>E60 یا معادل آن</t>
  </si>
  <si>
    <t>E70 یا معادل آن</t>
  </si>
  <si>
    <t>E80 یا معادل آن</t>
  </si>
  <si>
    <t>β=</t>
  </si>
  <si>
    <t>Fue=</t>
  </si>
  <si>
    <t>تنش تسلیم مصالح فلز پایه(fy)</t>
  </si>
  <si>
    <t xml:space="preserve">تا 300Mpa و t≤15mm </t>
  </si>
  <si>
    <t xml:space="preserve">تا 300Mpa و t&gt;15mm </t>
  </si>
  <si>
    <t>از 300Mpa تا 380Mpa</t>
  </si>
  <si>
    <t>از 380Mpa تا 460Mpa</t>
  </si>
  <si>
    <t>جدول اطلاعات مصالح مصرفی و مقطع ستون(kg,cm)</t>
  </si>
  <si>
    <t>تعیین ابعاد کف ستون و کنترل(kg,cm)</t>
  </si>
  <si>
    <r>
      <t>f</t>
    </r>
    <r>
      <rPr>
        <b/>
        <sz val="10"/>
        <color theme="1"/>
        <rFont val="Calibri"/>
        <family val="2"/>
        <scheme val="minor"/>
      </rPr>
      <t>c</t>
    </r>
    <r>
      <rPr>
        <b/>
        <sz val="11"/>
        <color theme="1"/>
        <rFont val="Calibri"/>
        <family val="2"/>
        <scheme val="minor"/>
      </rPr>
      <t>=</t>
    </r>
  </si>
  <si>
    <r>
      <t>p</t>
    </r>
    <r>
      <rPr>
        <b/>
        <sz val="10"/>
        <color theme="1"/>
        <rFont val="Calibri"/>
        <family val="2"/>
        <scheme val="minor"/>
      </rPr>
      <t>u</t>
    </r>
    <r>
      <rPr>
        <b/>
        <sz val="11"/>
        <color theme="1"/>
        <rFont val="Calibri"/>
        <family val="2"/>
        <scheme val="minor"/>
      </rPr>
      <t>=</t>
    </r>
  </si>
  <si>
    <r>
      <t>A</t>
    </r>
    <r>
      <rPr>
        <b/>
        <sz val="9"/>
        <color theme="1"/>
        <rFont val="Calibri"/>
        <family val="2"/>
        <scheme val="minor"/>
      </rPr>
      <t>2</t>
    </r>
    <r>
      <rPr>
        <b/>
        <sz val="11"/>
        <color theme="1"/>
        <rFont val="Calibri"/>
        <family val="2"/>
        <scheme val="minor"/>
      </rPr>
      <t>=</t>
    </r>
  </si>
  <si>
    <r>
      <t>Φ</t>
    </r>
    <r>
      <rPr>
        <b/>
        <sz val="10"/>
        <color theme="1"/>
        <rFont val="Calibri"/>
        <family val="2"/>
      </rPr>
      <t>b</t>
    </r>
    <r>
      <rPr>
        <b/>
        <sz val="11"/>
        <color theme="1"/>
        <rFont val="Calibri"/>
        <family val="2"/>
      </rPr>
      <t>=</t>
    </r>
  </si>
  <si>
    <r>
      <t>Φ</t>
    </r>
    <r>
      <rPr>
        <b/>
        <sz val="10"/>
        <color theme="1"/>
        <rFont val="Calibri"/>
        <family val="2"/>
        <scheme val="minor"/>
      </rPr>
      <t>b</t>
    </r>
    <r>
      <rPr>
        <b/>
        <sz val="11"/>
        <color theme="1"/>
        <rFont val="Calibri"/>
        <family val="2"/>
        <scheme val="minor"/>
      </rPr>
      <t>M</t>
    </r>
    <r>
      <rPr>
        <b/>
        <sz val="10"/>
        <color theme="1"/>
        <rFont val="Calibri"/>
        <family val="2"/>
        <scheme val="minor"/>
      </rPr>
      <t xml:space="preserve">n </t>
    </r>
    <r>
      <rPr>
        <b/>
        <sz val="11"/>
        <color theme="1"/>
        <rFont val="Calibri"/>
        <family val="2"/>
      </rPr>
      <t>≥ M</t>
    </r>
    <r>
      <rPr>
        <b/>
        <sz val="10"/>
        <color theme="1"/>
        <rFont val="Calibri"/>
        <family val="2"/>
      </rPr>
      <t>r</t>
    </r>
  </si>
  <si>
    <r>
      <t>f</t>
    </r>
    <r>
      <rPr>
        <b/>
        <sz val="10"/>
        <color theme="1"/>
        <rFont val="Calibri"/>
        <family val="2"/>
        <scheme val="minor"/>
      </rPr>
      <t>pu</t>
    </r>
    <r>
      <rPr>
        <b/>
        <sz val="11"/>
        <color theme="1"/>
        <rFont val="Calibri"/>
        <family val="2"/>
        <scheme val="minor"/>
      </rPr>
      <t>=</t>
    </r>
  </si>
  <si>
    <r>
      <t>Φ</t>
    </r>
    <r>
      <rPr>
        <b/>
        <sz val="10"/>
        <color theme="1"/>
        <rFont val="Calibri"/>
        <family val="2"/>
        <scheme val="minor"/>
      </rPr>
      <t xml:space="preserve">vVn </t>
    </r>
    <r>
      <rPr>
        <b/>
        <sz val="11"/>
        <color theme="1"/>
        <rFont val="Calibri"/>
        <family val="2"/>
      </rPr>
      <t>≥ V</t>
    </r>
    <r>
      <rPr>
        <b/>
        <sz val="10"/>
        <color theme="1"/>
        <rFont val="Calibri"/>
        <family val="2"/>
      </rPr>
      <t>r</t>
    </r>
  </si>
  <si>
    <r>
      <t>fpu</t>
    </r>
    <r>
      <rPr>
        <b/>
        <sz val="11"/>
        <color theme="1"/>
        <rFont val="Calibri"/>
        <family val="2"/>
      </rPr>
      <t>≤</t>
    </r>
    <r>
      <rPr>
        <b/>
        <sz val="9.8000000000000007"/>
        <color theme="1"/>
        <rFont val="Calibri"/>
        <family val="2"/>
      </rPr>
      <t>Fp</t>
    </r>
  </si>
  <si>
    <r>
      <t>t</t>
    </r>
    <r>
      <rPr>
        <b/>
        <sz val="10"/>
        <color theme="1"/>
        <rFont val="Calibri"/>
        <family val="2"/>
        <scheme val="minor"/>
      </rPr>
      <t>(n)</t>
    </r>
    <r>
      <rPr>
        <b/>
        <sz val="11"/>
        <color theme="1"/>
        <rFont val="Calibri"/>
        <family val="2"/>
        <scheme val="minor"/>
      </rPr>
      <t>=</t>
    </r>
  </si>
  <si>
    <r>
      <t>t</t>
    </r>
    <r>
      <rPr>
        <b/>
        <sz val="10"/>
        <color theme="1"/>
        <rFont val="Calibri"/>
        <family val="2"/>
        <scheme val="minor"/>
      </rPr>
      <t>(m)</t>
    </r>
    <r>
      <rPr>
        <b/>
        <sz val="11"/>
        <color theme="1"/>
        <rFont val="Calibri"/>
        <family val="2"/>
        <scheme val="minor"/>
      </rPr>
      <t>=</t>
    </r>
  </si>
  <si>
    <r>
      <t>a</t>
    </r>
    <r>
      <rPr>
        <b/>
        <sz val="9"/>
        <color theme="1"/>
        <rFont val="Calibri"/>
        <family val="2"/>
        <scheme val="minor"/>
      </rPr>
      <t>1</t>
    </r>
    <r>
      <rPr>
        <b/>
        <sz val="11"/>
        <color theme="1"/>
        <rFont val="Calibri"/>
        <family val="2"/>
        <scheme val="minor"/>
      </rPr>
      <t xml:space="preserve"> =</t>
    </r>
  </si>
  <si>
    <r>
      <t>d</t>
    </r>
    <r>
      <rPr>
        <b/>
        <sz val="9"/>
        <color theme="1"/>
        <rFont val="Calibri"/>
        <family val="2"/>
        <scheme val="minor"/>
      </rPr>
      <t>1</t>
    </r>
    <r>
      <rPr>
        <b/>
        <sz val="11"/>
        <color theme="1"/>
        <rFont val="Calibri"/>
        <family val="2"/>
        <scheme val="minor"/>
      </rPr>
      <t xml:space="preserve"> =</t>
    </r>
  </si>
  <si>
    <r>
      <t>a</t>
    </r>
    <r>
      <rPr>
        <b/>
        <sz val="8"/>
        <color theme="1"/>
        <rFont val="GreekC"/>
      </rPr>
      <t>3</t>
    </r>
    <r>
      <rPr>
        <b/>
        <sz val="11"/>
        <color theme="1"/>
        <rFont val="GreekC"/>
      </rPr>
      <t>=</t>
    </r>
  </si>
  <si>
    <r>
      <t>a</t>
    </r>
    <r>
      <rPr>
        <b/>
        <sz val="8"/>
        <color theme="1"/>
        <rFont val="GreekC"/>
      </rPr>
      <t>1</t>
    </r>
    <r>
      <rPr>
        <b/>
        <sz val="11"/>
        <color theme="1"/>
        <rFont val="GreekC"/>
      </rPr>
      <t>=</t>
    </r>
  </si>
  <si>
    <r>
      <t>a</t>
    </r>
    <r>
      <rPr>
        <b/>
        <sz val="8"/>
        <color theme="1"/>
        <rFont val="GreekC"/>
      </rPr>
      <t>2</t>
    </r>
    <r>
      <rPr>
        <b/>
        <sz val="11"/>
        <color theme="1"/>
        <rFont val="GreekC"/>
      </rPr>
      <t>=</t>
    </r>
  </si>
  <si>
    <r>
      <rPr>
        <b/>
        <sz val="11"/>
        <color theme="1"/>
        <rFont val="GreekC"/>
      </rPr>
      <t>a</t>
    </r>
    <r>
      <rPr>
        <b/>
        <sz val="9"/>
        <color theme="1"/>
        <rFont val="GreekC"/>
      </rPr>
      <t>3</t>
    </r>
    <r>
      <rPr>
        <b/>
        <sz val="11"/>
        <color theme="1"/>
        <rFont val="Calibri"/>
        <family val="2"/>
        <scheme val="minor"/>
      </rPr>
      <t>=</t>
    </r>
  </si>
  <si>
    <r>
      <t>Φ</t>
    </r>
    <r>
      <rPr>
        <b/>
        <sz val="10"/>
        <color theme="1"/>
        <rFont val="Calibri"/>
        <family val="2"/>
        <scheme val="minor"/>
      </rPr>
      <t>b</t>
    </r>
    <r>
      <rPr>
        <b/>
        <sz val="11"/>
        <color theme="1"/>
        <rFont val="Calibri"/>
        <family val="2"/>
        <scheme val="minor"/>
      </rPr>
      <t>M</t>
    </r>
    <r>
      <rPr>
        <b/>
        <sz val="10"/>
        <color theme="1"/>
        <rFont val="Calibri"/>
        <family val="2"/>
        <scheme val="minor"/>
      </rPr>
      <t xml:space="preserve">n </t>
    </r>
    <r>
      <rPr>
        <b/>
        <sz val="11"/>
        <color theme="1"/>
        <rFont val="Calibri"/>
        <family val="2"/>
      </rPr>
      <t>≥ M</t>
    </r>
    <r>
      <rPr>
        <b/>
        <sz val="10"/>
        <color theme="1"/>
        <rFont val="Calibri"/>
        <family val="2"/>
      </rPr>
      <t>طرح</t>
    </r>
  </si>
  <si>
    <r>
      <t>n</t>
    </r>
    <r>
      <rPr>
        <b/>
        <sz val="8"/>
        <color theme="1"/>
        <rFont val="Calibri"/>
        <family val="2"/>
        <scheme val="minor"/>
      </rPr>
      <t>st</t>
    </r>
    <r>
      <rPr>
        <b/>
        <sz val="10"/>
        <color theme="1"/>
        <rFont val="Calibri"/>
        <family val="2"/>
        <scheme val="minor"/>
      </rPr>
      <t>=</t>
    </r>
  </si>
  <si>
    <r>
      <t>h</t>
    </r>
    <r>
      <rPr>
        <b/>
        <sz val="8"/>
        <color theme="1"/>
        <rFont val="Calibri"/>
        <family val="2"/>
        <scheme val="minor"/>
      </rPr>
      <t>st</t>
    </r>
    <r>
      <rPr>
        <b/>
        <sz val="10"/>
        <color theme="1"/>
        <rFont val="Calibri"/>
        <family val="2"/>
        <scheme val="minor"/>
      </rPr>
      <t>=</t>
    </r>
  </si>
  <si>
    <r>
      <t>t</t>
    </r>
    <r>
      <rPr>
        <b/>
        <sz val="8"/>
        <color theme="1"/>
        <rFont val="Calibri"/>
        <family val="2"/>
        <scheme val="minor"/>
      </rPr>
      <t>st</t>
    </r>
    <r>
      <rPr>
        <b/>
        <sz val="10"/>
        <color theme="1"/>
        <rFont val="Calibri"/>
        <family val="2"/>
        <scheme val="minor"/>
      </rPr>
      <t>=</t>
    </r>
  </si>
  <si>
    <r>
      <t xml:space="preserve">t </t>
    </r>
    <r>
      <rPr>
        <b/>
        <sz val="9"/>
        <color theme="1"/>
        <rFont val="Calibri"/>
        <family val="2"/>
        <scheme val="minor"/>
      </rPr>
      <t>کف ستون</t>
    </r>
    <r>
      <rPr>
        <b/>
        <sz val="11"/>
        <color theme="1"/>
        <rFont val="Calibri"/>
        <family val="2"/>
        <scheme val="minor"/>
      </rPr>
      <t>=</t>
    </r>
  </si>
  <si>
    <r>
      <t>Φ</t>
    </r>
    <r>
      <rPr>
        <b/>
        <sz val="10"/>
        <color theme="1"/>
        <rFont val="Calibri"/>
        <family val="2"/>
        <scheme val="minor"/>
      </rPr>
      <t>b</t>
    </r>
    <r>
      <rPr>
        <b/>
        <sz val="11"/>
        <color theme="1"/>
        <rFont val="Calibri"/>
        <family val="2"/>
        <scheme val="minor"/>
      </rPr>
      <t>M</t>
    </r>
    <r>
      <rPr>
        <b/>
        <sz val="10"/>
        <color theme="1"/>
        <rFont val="Calibri"/>
        <family val="2"/>
        <scheme val="minor"/>
      </rPr>
      <t xml:space="preserve">n </t>
    </r>
    <r>
      <rPr>
        <b/>
        <sz val="11"/>
        <color theme="1"/>
        <rFont val="Calibri"/>
        <family val="2"/>
      </rPr>
      <t>≥ M</t>
    </r>
    <r>
      <rPr>
        <b/>
        <sz val="10"/>
        <color theme="1"/>
        <rFont val="Calibri"/>
        <family val="2"/>
      </rPr>
      <t>مقطع</t>
    </r>
  </si>
  <si>
    <r>
      <t>ΦR</t>
    </r>
    <r>
      <rPr>
        <b/>
        <sz val="10"/>
        <color theme="1"/>
        <rFont val="Calibri"/>
        <family val="2"/>
        <scheme val="minor"/>
      </rPr>
      <t>n =</t>
    </r>
  </si>
  <si>
    <r>
      <t>T</t>
    </r>
    <r>
      <rPr>
        <b/>
        <sz val="10"/>
        <color theme="1"/>
        <rFont val="Calibri"/>
        <family val="2"/>
        <scheme val="minor"/>
      </rPr>
      <t>u</t>
    </r>
    <r>
      <rPr>
        <b/>
        <sz val="11"/>
        <color theme="1"/>
        <rFont val="Calibri"/>
        <family val="2"/>
        <scheme val="minor"/>
      </rPr>
      <t>=</t>
    </r>
  </si>
  <si>
    <r>
      <rPr>
        <b/>
        <sz val="11"/>
        <color theme="1"/>
        <rFont val="Arial Black"/>
        <family val="2"/>
      </rPr>
      <t>F</t>
    </r>
    <r>
      <rPr>
        <b/>
        <sz val="10"/>
        <color theme="1"/>
        <rFont val="Arial Black"/>
        <family val="2"/>
      </rPr>
      <t>nt=</t>
    </r>
  </si>
  <si>
    <r>
      <t>V</t>
    </r>
    <r>
      <rPr>
        <b/>
        <sz val="10"/>
        <color theme="1"/>
        <rFont val="Calibri"/>
        <family val="2"/>
        <scheme val="minor"/>
      </rPr>
      <t>u</t>
    </r>
    <r>
      <rPr>
        <b/>
        <sz val="11"/>
        <color theme="1"/>
        <rFont val="Calibri"/>
        <family val="2"/>
        <scheme val="minor"/>
      </rPr>
      <t>=</t>
    </r>
  </si>
  <si>
    <r>
      <t>n</t>
    </r>
    <r>
      <rPr>
        <b/>
        <sz val="8"/>
        <color theme="1"/>
        <rFont val="Arial Black"/>
        <family val="2"/>
      </rPr>
      <t>s</t>
    </r>
    <r>
      <rPr>
        <b/>
        <sz val="11"/>
        <color theme="1"/>
        <rFont val="Arial Black"/>
        <family val="2"/>
      </rPr>
      <t>=</t>
    </r>
  </si>
  <si>
    <r>
      <rPr>
        <b/>
        <sz val="11"/>
        <color theme="1"/>
        <rFont val="Arial Black"/>
        <family val="2"/>
      </rPr>
      <t>F</t>
    </r>
    <r>
      <rPr>
        <b/>
        <sz val="10"/>
        <color theme="1"/>
        <rFont val="Arial Black"/>
        <family val="2"/>
      </rPr>
      <t>nv=</t>
    </r>
  </si>
  <si>
    <r>
      <t>F</t>
    </r>
    <r>
      <rPr>
        <b/>
        <sz val="10"/>
        <color theme="1"/>
        <rFont val="Calibri"/>
        <family val="2"/>
        <scheme val="minor"/>
      </rPr>
      <t>t</t>
    </r>
    <r>
      <rPr>
        <b/>
        <sz val="11"/>
        <color theme="1"/>
        <rFont val="Calibri"/>
        <family val="2"/>
        <scheme val="minor"/>
      </rPr>
      <t>=T</t>
    </r>
    <r>
      <rPr>
        <b/>
        <sz val="10"/>
        <color theme="1"/>
        <rFont val="Calibri"/>
        <family val="2"/>
        <scheme val="minor"/>
      </rPr>
      <t>u</t>
    </r>
    <r>
      <rPr>
        <b/>
        <sz val="11"/>
        <color theme="1"/>
        <rFont val="Calibri"/>
        <family val="2"/>
        <scheme val="minor"/>
      </rPr>
      <t>/n =</t>
    </r>
  </si>
  <si>
    <r>
      <t>A</t>
    </r>
    <r>
      <rPr>
        <b/>
        <sz val="10"/>
        <color theme="1"/>
        <rFont val="Calibri"/>
        <family val="2"/>
        <scheme val="minor"/>
      </rPr>
      <t>nb</t>
    </r>
    <r>
      <rPr>
        <b/>
        <sz val="11"/>
        <color theme="1"/>
        <rFont val="Calibri"/>
        <family val="2"/>
        <scheme val="minor"/>
      </rPr>
      <t xml:space="preserve"> =</t>
    </r>
  </si>
  <si>
    <r>
      <t>F</t>
    </r>
    <r>
      <rPr>
        <b/>
        <sz val="10"/>
        <color theme="1"/>
        <rFont val="Calibri"/>
        <family val="2"/>
        <scheme val="minor"/>
      </rPr>
      <t>v</t>
    </r>
    <r>
      <rPr>
        <b/>
        <sz val="11"/>
        <color theme="1"/>
        <rFont val="Calibri"/>
        <family val="2"/>
        <scheme val="minor"/>
      </rPr>
      <t>=V</t>
    </r>
    <r>
      <rPr>
        <b/>
        <sz val="10"/>
        <color theme="1"/>
        <rFont val="Calibri"/>
        <family val="2"/>
        <scheme val="minor"/>
      </rPr>
      <t>u</t>
    </r>
    <r>
      <rPr>
        <b/>
        <sz val="11"/>
        <color theme="1"/>
        <rFont val="Calibri"/>
        <family val="2"/>
        <scheme val="minor"/>
      </rPr>
      <t>/n =</t>
    </r>
  </si>
  <si>
    <r>
      <t>F</t>
    </r>
    <r>
      <rPr>
        <b/>
        <sz val="10"/>
        <color theme="1"/>
        <rFont val="Calibri"/>
        <family val="2"/>
        <scheme val="minor"/>
      </rPr>
      <t>v</t>
    </r>
    <r>
      <rPr>
        <b/>
        <sz val="11"/>
        <color theme="1"/>
        <rFont val="Calibri"/>
        <family val="2"/>
        <scheme val="minor"/>
      </rPr>
      <t xml:space="preserve"> </t>
    </r>
    <r>
      <rPr>
        <b/>
        <sz val="11"/>
        <color theme="1"/>
        <rFont val="Calibri"/>
        <family val="2"/>
      </rPr>
      <t>≤ Φ.R</t>
    </r>
    <r>
      <rPr>
        <b/>
        <sz val="10"/>
        <color theme="1"/>
        <rFont val="Calibri"/>
        <family val="2"/>
      </rPr>
      <t>nv</t>
    </r>
  </si>
  <si>
    <r>
      <t>F</t>
    </r>
    <r>
      <rPr>
        <b/>
        <sz val="10"/>
        <color theme="1"/>
        <rFont val="Calibri"/>
        <family val="2"/>
        <scheme val="minor"/>
      </rPr>
      <t>t</t>
    </r>
    <r>
      <rPr>
        <b/>
        <sz val="11"/>
        <color theme="1"/>
        <rFont val="Calibri"/>
        <family val="2"/>
        <scheme val="minor"/>
      </rPr>
      <t xml:space="preserve"> </t>
    </r>
    <r>
      <rPr>
        <b/>
        <sz val="11"/>
        <color theme="1"/>
        <rFont val="Calibri"/>
        <family val="2"/>
      </rPr>
      <t>≤ Φ.R</t>
    </r>
    <r>
      <rPr>
        <b/>
        <sz val="10"/>
        <color theme="1"/>
        <rFont val="Calibri"/>
        <family val="2"/>
      </rPr>
      <t>nt</t>
    </r>
  </si>
  <si>
    <r>
      <t>F'</t>
    </r>
    <r>
      <rPr>
        <b/>
        <sz val="10"/>
        <color theme="1"/>
        <rFont val="Calibri"/>
        <family val="2"/>
        <scheme val="minor"/>
      </rPr>
      <t>nv</t>
    </r>
    <r>
      <rPr>
        <b/>
        <sz val="11"/>
        <color theme="1"/>
        <rFont val="Calibri"/>
        <family val="2"/>
        <scheme val="minor"/>
      </rPr>
      <t>=</t>
    </r>
  </si>
  <si>
    <r>
      <t>F'</t>
    </r>
    <r>
      <rPr>
        <b/>
        <sz val="10"/>
        <color theme="1"/>
        <rFont val="Calibri"/>
        <family val="2"/>
        <scheme val="minor"/>
      </rPr>
      <t>nt</t>
    </r>
    <r>
      <rPr>
        <b/>
        <sz val="11"/>
        <color theme="1"/>
        <rFont val="Calibri"/>
        <family val="2"/>
        <scheme val="minor"/>
      </rPr>
      <t>=</t>
    </r>
  </si>
  <si>
    <r>
      <t>T</t>
    </r>
    <r>
      <rPr>
        <b/>
        <sz val="10"/>
        <color theme="1"/>
        <rFont val="Calibri"/>
        <family val="2"/>
        <scheme val="minor"/>
      </rPr>
      <t>b</t>
    </r>
    <r>
      <rPr>
        <b/>
        <sz val="11"/>
        <color theme="1"/>
        <rFont val="Calibri"/>
        <family val="2"/>
        <scheme val="minor"/>
      </rPr>
      <t>=</t>
    </r>
  </si>
  <si>
    <r>
      <t>F</t>
    </r>
    <r>
      <rPr>
        <b/>
        <sz val="10"/>
        <color theme="1"/>
        <rFont val="Calibri"/>
        <family val="2"/>
        <scheme val="minor"/>
      </rPr>
      <t xml:space="preserve">v </t>
    </r>
    <r>
      <rPr>
        <b/>
        <sz val="11"/>
        <color theme="1"/>
        <rFont val="Calibri"/>
        <family val="2"/>
      </rPr>
      <t>≤ Φ.R</t>
    </r>
    <r>
      <rPr>
        <b/>
        <sz val="10"/>
        <color theme="1"/>
        <rFont val="Calibri"/>
        <family val="2"/>
      </rPr>
      <t>nv</t>
    </r>
  </si>
  <si>
    <r>
      <t>ld</t>
    </r>
    <r>
      <rPr>
        <b/>
        <sz val="9"/>
        <color theme="1"/>
        <rFont val="Calibri"/>
        <family val="2"/>
        <scheme val="minor"/>
      </rPr>
      <t>c1</t>
    </r>
    <r>
      <rPr>
        <b/>
        <sz val="11"/>
        <color theme="1"/>
        <rFont val="Calibri"/>
        <family val="2"/>
        <scheme val="minor"/>
      </rPr>
      <t>=</t>
    </r>
  </si>
  <si>
    <t>ناحیه 1(ورق یک طرف تکیه دار)</t>
  </si>
  <si>
    <t>تعیین ضخامت کف ستون بدون سخت کننده t(kg,cm)</t>
  </si>
  <si>
    <t xml:space="preserve">x ̅=
</t>
  </si>
  <si>
    <t xml:space="preserve"> tکف ستون=</t>
  </si>
  <si>
    <t>طول مهاری (کششی)ldh=</t>
  </si>
  <si>
    <t>طول مهاری (فشاری)ldc=</t>
  </si>
  <si>
    <t>تعیین ضخامت کف ستون با سخت کننده 't حالت 1 (kg,cm)</t>
  </si>
  <si>
    <t>تعیین ضخامت کف ستون با سخت کننده 'tحالت 2(kg,cm)</t>
  </si>
  <si>
    <t>تعیین ضخامت کف ستون با سخت کننده 'tحالت 3(kg,cm)</t>
  </si>
  <si>
    <r>
      <t>Φ</t>
    </r>
    <r>
      <rPr>
        <b/>
        <sz val="10"/>
        <color theme="1"/>
        <rFont val="Calibri"/>
        <family val="2"/>
        <scheme val="minor"/>
      </rPr>
      <t xml:space="preserve">vVn </t>
    </r>
    <r>
      <rPr>
        <b/>
        <sz val="11"/>
        <color theme="1"/>
        <rFont val="Calibri"/>
        <family val="2"/>
      </rPr>
      <t>≥ V</t>
    </r>
    <r>
      <rPr>
        <b/>
        <sz val="10"/>
        <color theme="1"/>
        <rFont val="Calibri"/>
        <family val="2"/>
      </rPr>
      <t>مقطع</t>
    </r>
  </si>
  <si>
    <r>
      <t>ΦRn</t>
    </r>
    <r>
      <rPr>
        <b/>
        <sz val="10"/>
        <color theme="1"/>
        <rFont val="Calibri"/>
        <family val="2"/>
        <scheme val="minor"/>
      </rPr>
      <t xml:space="preserve"> </t>
    </r>
    <r>
      <rPr>
        <b/>
        <sz val="11"/>
        <color theme="1"/>
        <rFont val="Calibri"/>
        <family val="2"/>
      </rPr>
      <t>≥ q</t>
    </r>
  </si>
  <si>
    <t>&lt;&lt;خمش</t>
  </si>
  <si>
    <t>&lt;&lt;برش</t>
  </si>
  <si>
    <t>Q =</t>
  </si>
  <si>
    <t>a بعد جوش مورد نیاز=</t>
  </si>
  <si>
    <t>جوش سخت کننده به کف ستون در مقطع انتخابی(kg,cm)</t>
  </si>
  <si>
    <r>
      <t>fy</t>
    </r>
    <r>
      <rPr>
        <b/>
        <sz val="9"/>
        <color theme="1"/>
        <rFont val="B Nazanin"/>
        <charset val="178"/>
      </rPr>
      <t>میلگرد (بولت)</t>
    </r>
    <r>
      <rPr>
        <b/>
        <sz val="10"/>
        <color theme="1"/>
        <rFont val="B Nazanin"/>
        <charset val="178"/>
      </rPr>
      <t>=</t>
    </r>
  </si>
  <si>
    <t>10الی17cm</t>
  </si>
  <si>
    <r>
      <t>مقدار امتداد بولتها از بالای کف ستون</t>
    </r>
    <r>
      <rPr>
        <b/>
        <sz val="11"/>
        <color theme="1"/>
        <rFont val="Calibri"/>
        <family val="2"/>
        <scheme val="minor"/>
      </rPr>
      <t>=</t>
    </r>
  </si>
  <si>
    <t>مقاومت اتکایی در جدارسوراخ پیچ در مقابل نیروی برشی(اصطکاکی و اتکایی) بند10-2-9-3-7</t>
  </si>
  <si>
    <t>محاسباتی در اثر لنگر خمشی</t>
  </si>
  <si>
    <t>تعیین برون محوری e(cm)</t>
  </si>
  <si>
    <t>بررسی میزان برون محوری(cm)</t>
  </si>
  <si>
    <t>control&gt;&gt;</t>
  </si>
  <si>
    <r>
      <t>K</t>
    </r>
    <r>
      <rPr>
        <b/>
        <sz val="9"/>
        <rFont val="Calibri"/>
        <family val="2"/>
        <scheme val="minor"/>
      </rPr>
      <t>1</t>
    </r>
    <r>
      <rPr>
        <b/>
        <sz val="11"/>
        <rFont val="Calibri"/>
        <family val="2"/>
        <scheme val="minor"/>
      </rPr>
      <t>=</t>
    </r>
  </si>
  <si>
    <r>
      <t>K</t>
    </r>
    <r>
      <rPr>
        <b/>
        <sz val="9"/>
        <rFont val="Calibri"/>
        <family val="2"/>
        <scheme val="minor"/>
      </rPr>
      <t>2</t>
    </r>
    <r>
      <rPr>
        <b/>
        <sz val="11"/>
        <rFont val="Calibri"/>
        <family val="2"/>
        <scheme val="minor"/>
      </rPr>
      <t>=</t>
    </r>
  </si>
  <si>
    <r>
      <t>K</t>
    </r>
    <r>
      <rPr>
        <b/>
        <sz val="9"/>
        <rFont val="Calibri"/>
        <family val="2"/>
        <scheme val="minor"/>
      </rPr>
      <t>3</t>
    </r>
    <r>
      <rPr>
        <b/>
        <sz val="11"/>
        <rFont val="Calibri"/>
        <family val="2"/>
        <scheme val="minor"/>
      </rPr>
      <t>=</t>
    </r>
  </si>
  <si>
    <r>
      <t>ФR</t>
    </r>
    <r>
      <rPr>
        <b/>
        <sz val="8"/>
        <rFont val="Calibri"/>
        <family val="2"/>
        <scheme val="minor"/>
      </rPr>
      <t>nv</t>
    </r>
    <r>
      <rPr>
        <b/>
        <sz val="10"/>
        <rFont val="Calibri"/>
        <family val="2"/>
        <scheme val="minor"/>
      </rPr>
      <t>=Φ.Fnv.Anb=</t>
    </r>
  </si>
  <si>
    <r>
      <t>ФR</t>
    </r>
    <r>
      <rPr>
        <b/>
        <sz val="8"/>
        <rFont val="Calibri"/>
        <family val="2"/>
        <scheme val="minor"/>
      </rPr>
      <t>nv</t>
    </r>
    <r>
      <rPr>
        <b/>
        <sz val="10"/>
        <rFont val="Calibri"/>
        <family val="2"/>
        <scheme val="minor"/>
      </rPr>
      <t>=Ф.ns.Tb.hf.Du.μ =</t>
    </r>
  </si>
  <si>
    <r>
      <t>P</t>
    </r>
    <r>
      <rPr>
        <b/>
        <sz val="10"/>
        <rFont val="Calibri"/>
        <family val="2"/>
        <scheme val="minor"/>
      </rPr>
      <t>u</t>
    </r>
    <r>
      <rPr>
        <b/>
        <sz val="11"/>
        <rFont val="Calibri"/>
        <family val="2"/>
        <scheme val="minor"/>
      </rPr>
      <t>=</t>
    </r>
  </si>
  <si>
    <r>
      <t>f</t>
    </r>
    <r>
      <rPr>
        <b/>
        <sz val="10"/>
        <rFont val="Calibri"/>
        <family val="2"/>
        <scheme val="minor"/>
      </rPr>
      <t>c</t>
    </r>
    <r>
      <rPr>
        <b/>
        <sz val="11"/>
        <rFont val="Calibri"/>
        <family val="2"/>
        <scheme val="minor"/>
      </rPr>
      <t>=</t>
    </r>
  </si>
  <si>
    <r>
      <t>Φ</t>
    </r>
    <r>
      <rPr>
        <b/>
        <sz val="10"/>
        <rFont val="Calibri"/>
        <family val="2"/>
      </rPr>
      <t>b</t>
    </r>
    <r>
      <rPr>
        <b/>
        <sz val="11"/>
        <rFont val="Calibri"/>
        <family val="2"/>
      </rPr>
      <t>=</t>
    </r>
  </si>
  <si>
    <r>
      <t>Φ</t>
    </r>
    <r>
      <rPr>
        <b/>
        <sz val="10"/>
        <rFont val="Calibri"/>
        <family val="2"/>
        <scheme val="minor"/>
      </rPr>
      <t>b</t>
    </r>
    <r>
      <rPr>
        <b/>
        <sz val="11"/>
        <rFont val="Calibri"/>
        <family val="2"/>
        <scheme val="minor"/>
      </rPr>
      <t>M</t>
    </r>
    <r>
      <rPr>
        <b/>
        <sz val="10"/>
        <rFont val="Calibri"/>
        <family val="2"/>
        <scheme val="minor"/>
      </rPr>
      <t xml:space="preserve">n </t>
    </r>
    <r>
      <rPr>
        <b/>
        <sz val="11"/>
        <rFont val="Calibri"/>
        <family val="2"/>
      </rPr>
      <t>≥ M</t>
    </r>
    <r>
      <rPr>
        <b/>
        <sz val="10"/>
        <rFont val="Calibri"/>
        <family val="2"/>
      </rPr>
      <t>r</t>
    </r>
  </si>
  <si>
    <r>
      <t>f</t>
    </r>
    <r>
      <rPr>
        <b/>
        <sz val="10"/>
        <rFont val="Calibri"/>
        <family val="2"/>
        <scheme val="minor"/>
      </rPr>
      <t>pu</t>
    </r>
    <r>
      <rPr>
        <b/>
        <sz val="11"/>
        <rFont val="Calibri"/>
        <family val="2"/>
        <scheme val="minor"/>
      </rPr>
      <t>=</t>
    </r>
  </si>
  <si>
    <r>
      <t>t</t>
    </r>
    <r>
      <rPr>
        <b/>
        <sz val="10"/>
        <rFont val="Calibri"/>
        <family val="2"/>
        <scheme val="minor"/>
      </rPr>
      <t>(m)</t>
    </r>
    <r>
      <rPr>
        <b/>
        <sz val="11"/>
        <rFont val="Calibri"/>
        <family val="2"/>
        <scheme val="minor"/>
      </rPr>
      <t>=</t>
    </r>
  </si>
  <si>
    <r>
      <t>t</t>
    </r>
    <r>
      <rPr>
        <b/>
        <sz val="10"/>
        <rFont val="Calibri"/>
        <family val="2"/>
        <scheme val="minor"/>
      </rPr>
      <t>(n)</t>
    </r>
    <r>
      <rPr>
        <b/>
        <sz val="11"/>
        <rFont val="Calibri"/>
        <family val="2"/>
        <scheme val="minor"/>
      </rPr>
      <t>=</t>
    </r>
  </si>
  <si>
    <r>
      <t>Φ</t>
    </r>
    <r>
      <rPr>
        <b/>
        <sz val="10"/>
        <rFont val="Calibri"/>
        <family val="2"/>
        <scheme val="minor"/>
      </rPr>
      <t xml:space="preserve">vVn </t>
    </r>
    <r>
      <rPr>
        <b/>
        <sz val="11"/>
        <rFont val="Calibri"/>
        <family val="2"/>
      </rPr>
      <t>≥ V</t>
    </r>
    <r>
      <rPr>
        <b/>
        <sz val="10"/>
        <rFont val="Calibri"/>
        <family val="2"/>
      </rPr>
      <t>r</t>
    </r>
  </si>
  <si>
    <r>
      <t>A</t>
    </r>
    <r>
      <rPr>
        <b/>
        <sz val="10"/>
        <rFont val="Calibri"/>
        <family val="2"/>
        <scheme val="minor"/>
      </rPr>
      <t>p(A1) =</t>
    </r>
  </si>
  <si>
    <r>
      <rPr>
        <b/>
        <sz val="10"/>
        <rFont val="B Nazanin"/>
        <charset val="178"/>
      </rPr>
      <t>ناحیه 1</t>
    </r>
    <r>
      <rPr>
        <b/>
        <sz val="11"/>
        <rFont val="B Nazanin"/>
        <charset val="178"/>
      </rPr>
      <t>(</t>
    </r>
    <r>
      <rPr>
        <b/>
        <sz val="9"/>
        <rFont val="B Nazanin"/>
        <charset val="178"/>
      </rPr>
      <t>ورق یک طرف تکیه دار</t>
    </r>
    <r>
      <rPr>
        <b/>
        <sz val="11"/>
        <rFont val="B Nazanin"/>
        <charset val="178"/>
      </rPr>
      <t>)</t>
    </r>
  </si>
  <si>
    <r>
      <t>a</t>
    </r>
    <r>
      <rPr>
        <b/>
        <sz val="8"/>
        <rFont val="GreekC"/>
      </rPr>
      <t>3</t>
    </r>
    <r>
      <rPr>
        <b/>
        <sz val="11"/>
        <rFont val="GreekC"/>
      </rPr>
      <t>=</t>
    </r>
  </si>
  <si>
    <r>
      <t>a</t>
    </r>
    <r>
      <rPr>
        <b/>
        <sz val="8"/>
        <rFont val="GreekC"/>
      </rPr>
      <t>1</t>
    </r>
    <r>
      <rPr>
        <b/>
        <sz val="11"/>
        <rFont val="GreekC"/>
      </rPr>
      <t>=</t>
    </r>
  </si>
  <si>
    <r>
      <t>a</t>
    </r>
    <r>
      <rPr>
        <b/>
        <sz val="8"/>
        <rFont val="GreekC"/>
      </rPr>
      <t>2</t>
    </r>
    <r>
      <rPr>
        <b/>
        <sz val="11"/>
        <rFont val="GreekC"/>
      </rPr>
      <t>=</t>
    </r>
  </si>
  <si>
    <r>
      <t>Φ</t>
    </r>
    <r>
      <rPr>
        <b/>
        <sz val="10"/>
        <rFont val="Calibri"/>
        <family val="2"/>
        <scheme val="minor"/>
      </rPr>
      <t>b</t>
    </r>
    <r>
      <rPr>
        <b/>
        <sz val="11"/>
        <rFont val="Calibri"/>
        <family val="2"/>
        <scheme val="minor"/>
      </rPr>
      <t>M</t>
    </r>
    <r>
      <rPr>
        <b/>
        <sz val="10"/>
        <rFont val="Calibri"/>
        <family val="2"/>
        <scheme val="minor"/>
      </rPr>
      <t xml:space="preserve">n </t>
    </r>
    <r>
      <rPr>
        <b/>
        <sz val="11"/>
        <rFont val="Calibri"/>
        <family val="2"/>
      </rPr>
      <t>≥ M</t>
    </r>
    <r>
      <rPr>
        <b/>
        <sz val="10"/>
        <rFont val="Calibri"/>
        <family val="2"/>
      </rPr>
      <t>طرح</t>
    </r>
  </si>
  <si>
    <r>
      <t>fpu</t>
    </r>
    <r>
      <rPr>
        <b/>
        <sz val="11"/>
        <rFont val="Calibri"/>
        <family val="2"/>
      </rPr>
      <t>≤</t>
    </r>
    <r>
      <rPr>
        <b/>
        <sz val="9.8000000000000007"/>
        <rFont val="Calibri"/>
        <family val="2"/>
      </rPr>
      <t>Fp</t>
    </r>
  </si>
  <si>
    <r>
      <t>n</t>
    </r>
    <r>
      <rPr>
        <b/>
        <sz val="8"/>
        <rFont val="Calibri"/>
        <family val="2"/>
        <scheme val="minor"/>
      </rPr>
      <t>st</t>
    </r>
    <r>
      <rPr>
        <b/>
        <sz val="10"/>
        <rFont val="Calibri"/>
        <family val="2"/>
        <scheme val="minor"/>
      </rPr>
      <t>=</t>
    </r>
  </si>
  <si>
    <r>
      <t>h</t>
    </r>
    <r>
      <rPr>
        <b/>
        <sz val="8"/>
        <rFont val="Calibri"/>
        <family val="2"/>
        <scheme val="minor"/>
      </rPr>
      <t>st</t>
    </r>
    <r>
      <rPr>
        <b/>
        <sz val="10"/>
        <rFont val="Calibri"/>
        <family val="2"/>
        <scheme val="minor"/>
      </rPr>
      <t>=</t>
    </r>
  </si>
  <si>
    <r>
      <t>t</t>
    </r>
    <r>
      <rPr>
        <b/>
        <sz val="8"/>
        <rFont val="Calibri"/>
        <family val="2"/>
        <scheme val="minor"/>
      </rPr>
      <t>st</t>
    </r>
    <r>
      <rPr>
        <b/>
        <sz val="10"/>
        <rFont val="Calibri"/>
        <family val="2"/>
        <scheme val="minor"/>
      </rPr>
      <t>=</t>
    </r>
  </si>
  <si>
    <r>
      <t>fpu</t>
    </r>
    <r>
      <rPr>
        <b/>
        <sz val="11"/>
        <rFont val="Calibri"/>
        <family val="2"/>
      </rPr>
      <t>≤</t>
    </r>
    <r>
      <rPr>
        <b/>
        <sz val="10"/>
        <rFont val="Calibri"/>
        <family val="2"/>
      </rPr>
      <t>F</t>
    </r>
    <r>
      <rPr>
        <b/>
        <sz val="9.8000000000000007"/>
        <rFont val="Calibri"/>
        <family val="2"/>
      </rPr>
      <t>p</t>
    </r>
  </si>
  <si>
    <r>
      <t>H</t>
    </r>
    <r>
      <rPr>
        <b/>
        <sz val="9"/>
        <rFont val="Calibri"/>
        <family val="2"/>
        <scheme val="minor"/>
      </rPr>
      <t>بعد موثر (بعد در جهت لنگر)</t>
    </r>
    <r>
      <rPr>
        <b/>
        <sz val="11"/>
        <rFont val="Calibri"/>
        <family val="2"/>
        <scheme val="minor"/>
      </rPr>
      <t xml:space="preserve"> =</t>
    </r>
  </si>
  <si>
    <r>
      <t>C</t>
    </r>
    <r>
      <rPr>
        <b/>
        <sz val="9"/>
        <rFont val="Calibri"/>
        <family val="2"/>
        <scheme val="minor"/>
      </rPr>
      <t>پهنای کف ستون در امتداد عمود بر بعد موثر</t>
    </r>
    <r>
      <rPr>
        <b/>
        <sz val="11"/>
        <rFont val="Calibri"/>
        <family val="2"/>
        <scheme val="minor"/>
      </rPr>
      <t xml:space="preserve"> =</t>
    </r>
  </si>
  <si>
    <r>
      <t xml:space="preserve">t </t>
    </r>
    <r>
      <rPr>
        <b/>
        <sz val="9"/>
        <rFont val="Calibri"/>
        <family val="2"/>
        <scheme val="minor"/>
      </rPr>
      <t>کف ستون</t>
    </r>
    <r>
      <rPr>
        <b/>
        <sz val="11"/>
        <rFont val="Calibri"/>
        <family val="2"/>
        <scheme val="minor"/>
      </rPr>
      <t>=</t>
    </r>
  </si>
  <si>
    <r>
      <t>n</t>
    </r>
    <r>
      <rPr>
        <b/>
        <sz val="9"/>
        <rFont val="Calibri"/>
        <family val="2"/>
        <scheme val="minor"/>
      </rPr>
      <t>t</t>
    </r>
    <r>
      <rPr>
        <b/>
        <sz val="11"/>
        <rFont val="Calibri"/>
        <family val="2"/>
        <scheme val="minor"/>
      </rPr>
      <t>=</t>
    </r>
  </si>
  <si>
    <r>
      <t>fpu</t>
    </r>
    <r>
      <rPr>
        <b/>
        <sz val="11"/>
        <rFont val="Calibri"/>
        <family val="2"/>
      </rPr>
      <t>≤F</t>
    </r>
    <r>
      <rPr>
        <b/>
        <sz val="9.8000000000000007"/>
        <rFont val="Calibri"/>
        <family val="2"/>
      </rPr>
      <t>p</t>
    </r>
  </si>
  <si>
    <r>
      <t>ΦR</t>
    </r>
    <r>
      <rPr>
        <b/>
        <sz val="10"/>
        <rFont val="Calibri"/>
        <family val="2"/>
        <scheme val="minor"/>
      </rPr>
      <t>n =</t>
    </r>
  </si>
  <si>
    <r>
      <t>ΦRn</t>
    </r>
    <r>
      <rPr>
        <b/>
        <sz val="10"/>
        <rFont val="Calibri"/>
        <family val="2"/>
        <scheme val="minor"/>
      </rPr>
      <t xml:space="preserve"> </t>
    </r>
    <r>
      <rPr>
        <b/>
        <sz val="11"/>
        <rFont val="Calibri"/>
        <family val="2"/>
      </rPr>
      <t>≥ q</t>
    </r>
  </si>
  <si>
    <r>
      <t>Φ</t>
    </r>
    <r>
      <rPr>
        <b/>
        <sz val="10"/>
        <rFont val="Calibri"/>
        <family val="2"/>
        <scheme val="minor"/>
      </rPr>
      <t>b</t>
    </r>
    <r>
      <rPr>
        <b/>
        <sz val="11"/>
        <rFont val="Calibri"/>
        <family val="2"/>
        <scheme val="minor"/>
      </rPr>
      <t>M</t>
    </r>
    <r>
      <rPr>
        <b/>
        <sz val="10"/>
        <rFont val="Calibri"/>
        <family val="2"/>
        <scheme val="minor"/>
      </rPr>
      <t xml:space="preserve">n </t>
    </r>
    <r>
      <rPr>
        <b/>
        <sz val="11"/>
        <rFont val="Calibri"/>
        <family val="2"/>
      </rPr>
      <t>≥ M</t>
    </r>
    <r>
      <rPr>
        <b/>
        <sz val="10"/>
        <rFont val="Calibri"/>
        <family val="2"/>
      </rPr>
      <t>مقطع</t>
    </r>
  </si>
  <si>
    <r>
      <t>F</t>
    </r>
    <r>
      <rPr>
        <b/>
        <sz val="10"/>
        <rFont val="Calibri"/>
        <family val="2"/>
        <scheme val="minor"/>
      </rPr>
      <t>t</t>
    </r>
    <r>
      <rPr>
        <b/>
        <sz val="11"/>
        <rFont val="Calibri"/>
        <family val="2"/>
        <scheme val="minor"/>
      </rPr>
      <t>=T</t>
    </r>
    <r>
      <rPr>
        <b/>
        <sz val="10"/>
        <rFont val="Calibri"/>
        <family val="2"/>
        <scheme val="minor"/>
      </rPr>
      <t>u</t>
    </r>
    <r>
      <rPr>
        <b/>
        <sz val="11"/>
        <rFont val="Calibri"/>
        <family val="2"/>
        <scheme val="minor"/>
      </rPr>
      <t>/n =</t>
    </r>
  </si>
  <si>
    <r>
      <t>A</t>
    </r>
    <r>
      <rPr>
        <b/>
        <sz val="10"/>
        <rFont val="Calibri"/>
        <family val="2"/>
        <scheme val="minor"/>
      </rPr>
      <t>nb</t>
    </r>
    <r>
      <rPr>
        <b/>
        <sz val="11"/>
        <rFont val="Calibri"/>
        <family val="2"/>
        <scheme val="minor"/>
      </rPr>
      <t xml:space="preserve"> =</t>
    </r>
  </si>
  <si>
    <r>
      <t>F</t>
    </r>
    <r>
      <rPr>
        <b/>
        <sz val="10"/>
        <rFont val="Calibri"/>
        <family val="2"/>
        <scheme val="minor"/>
      </rPr>
      <t>v</t>
    </r>
    <r>
      <rPr>
        <b/>
        <sz val="11"/>
        <rFont val="Calibri"/>
        <family val="2"/>
        <scheme val="minor"/>
      </rPr>
      <t>=V</t>
    </r>
    <r>
      <rPr>
        <b/>
        <sz val="10"/>
        <rFont val="Calibri"/>
        <family val="2"/>
        <scheme val="minor"/>
      </rPr>
      <t>u</t>
    </r>
    <r>
      <rPr>
        <b/>
        <sz val="11"/>
        <rFont val="Calibri"/>
        <family val="2"/>
        <scheme val="minor"/>
      </rPr>
      <t>/n =</t>
    </r>
  </si>
  <si>
    <r>
      <t xml:space="preserve">Fv </t>
    </r>
    <r>
      <rPr>
        <b/>
        <sz val="11"/>
        <rFont val="Calibri"/>
        <family val="2"/>
      </rPr>
      <t>≤ Φ.R</t>
    </r>
    <r>
      <rPr>
        <b/>
        <sz val="10"/>
        <rFont val="Calibri"/>
        <family val="2"/>
      </rPr>
      <t>nv</t>
    </r>
  </si>
  <si>
    <r>
      <t>F</t>
    </r>
    <r>
      <rPr>
        <b/>
        <sz val="10"/>
        <rFont val="Calibri"/>
        <family val="2"/>
        <scheme val="minor"/>
      </rPr>
      <t>t</t>
    </r>
    <r>
      <rPr>
        <b/>
        <sz val="11"/>
        <rFont val="Calibri"/>
        <family val="2"/>
        <scheme val="minor"/>
      </rPr>
      <t xml:space="preserve"> </t>
    </r>
    <r>
      <rPr>
        <b/>
        <sz val="11"/>
        <rFont val="Calibri"/>
        <family val="2"/>
      </rPr>
      <t>≤ Φ.R</t>
    </r>
    <r>
      <rPr>
        <b/>
        <sz val="10"/>
        <rFont val="Calibri"/>
        <family val="2"/>
      </rPr>
      <t>nt</t>
    </r>
  </si>
  <si>
    <r>
      <t>F'</t>
    </r>
    <r>
      <rPr>
        <b/>
        <sz val="10"/>
        <rFont val="Calibri"/>
        <family val="2"/>
        <scheme val="minor"/>
      </rPr>
      <t>nv</t>
    </r>
    <r>
      <rPr>
        <b/>
        <sz val="11"/>
        <rFont val="Calibri"/>
        <family val="2"/>
        <scheme val="minor"/>
      </rPr>
      <t>=</t>
    </r>
  </si>
  <si>
    <r>
      <t>F'</t>
    </r>
    <r>
      <rPr>
        <b/>
        <sz val="10"/>
        <rFont val="Calibri"/>
        <family val="2"/>
        <scheme val="minor"/>
      </rPr>
      <t>nt</t>
    </r>
    <r>
      <rPr>
        <b/>
        <sz val="11"/>
        <rFont val="Calibri"/>
        <family val="2"/>
        <scheme val="minor"/>
      </rPr>
      <t>=</t>
    </r>
  </si>
  <si>
    <r>
      <t>T</t>
    </r>
    <r>
      <rPr>
        <b/>
        <sz val="10"/>
        <rFont val="Calibri"/>
        <family val="2"/>
        <scheme val="minor"/>
      </rPr>
      <t>b</t>
    </r>
    <r>
      <rPr>
        <b/>
        <sz val="11"/>
        <rFont val="Calibri"/>
        <family val="2"/>
        <scheme val="minor"/>
      </rPr>
      <t>=</t>
    </r>
  </si>
  <si>
    <r>
      <t>F</t>
    </r>
    <r>
      <rPr>
        <b/>
        <sz val="10"/>
        <rFont val="Calibri"/>
        <family val="2"/>
        <scheme val="minor"/>
      </rPr>
      <t>v</t>
    </r>
    <r>
      <rPr>
        <b/>
        <sz val="11"/>
        <rFont val="Calibri"/>
        <family val="2"/>
        <scheme val="minor"/>
      </rPr>
      <t xml:space="preserve"> </t>
    </r>
    <r>
      <rPr>
        <b/>
        <sz val="11"/>
        <rFont val="Calibri"/>
        <family val="2"/>
      </rPr>
      <t>≤ Φ.R</t>
    </r>
    <r>
      <rPr>
        <b/>
        <sz val="10"/>
        <rFont val="Calibri"/>
        <family val="2"/>
      </rPr>
      <t>nv</t>
    </r>
  </si>
  <si>
    <r>
      <t>طول مهاری (کششی)l</t>
    </r>
    <r>
      <rPr>
        <b/>
        <sz val="9"/>
        <rFont val="Calibri"/>
        <family val="2"/>
        <scheme val="minor"/>
      </rPr>
      <t>dh=</t>
    </r>
  </si>
  <si>
    <r>
      <t>طول مهاری (فشاری)l</t>
    </r>
    <r>
      <rPr>
        <b/>
        <sz val="9"/>
        <rFont val="Calibri"/>
        <family val="2"/>
        <scheme val="minor"/>
      </rPr>
      <t>dc=</t>
    </r>
  </si>
  <si>
    <r>
      <t>ld</t>
    </r>
    <r>
      <rPr>
        <b/>
        <sz val="9"/>
        <rFont val="Calibri"/>
        <family val="2"/>
        <scheme val="minor"/>
      </rPr>
      <t>c1</t>
    </r>
    <r>
      <rPr>
        <b/>
        <sz val="11"/>
        <rFont val="Calibri"/>
        <family val="2"/>
        <scheme val="minor"/>
      </rPr>
      <t>=</t>
    </r>
  </si>
  <si>
    <r>
      <t>T</t>
    </r>
    <r>
      <rPr>
        <b/>
        <sz val="11"/>
        <rFont val="Calibri"/>
        <family val="2"/>
        <scheme val="minor"/>
      </rPr>
      <t>=</t>
    </r>
  </si>
  <si>
    <t>حالت3(H/2&lt;e برون محوری بزرگ) (برای انتخاب ابعاد اولیه میتوان از  ابعاد بدون توجه به برون محوری استفاده نمود)</t>
  </si>
  <si>
    <t>مورد استفاده در هر سه حالت(kg,cm)</t>
  </si>
  <si>
    <t>جداول مورد نیاز</t>
  </si>
  <si>
    <t>تعیین ابعاد کف ستون و کنترل(kg,cm) --باتوجه به بند10-2-9-8مبحث10</t>
  </si>
  <si>
    <t>تعیین ضخامت کف ستون بدون سخت کننده t(kg,cm)--باتوجه به بخش10-2-5و10-2-6مبحث10</t>
  </si>
  <si>
    <t>تعیین ضخامت کف ستون با سخت کننده 't(kg,cm)--باتوجه به بخش10-2-5مبحث10</t>
  </si>
  <si>
    <t>کنترل مقطعی از کف ستون شامل سخت کننده ها(kg,cm)--باتوجه به بخش10-2-5و10-2-6مبحث10</t>
  </si>
  <si>
    <t>جوش سخت کننده به کف ستون در مقطع انتخابی(kg,cm)--باتوجه به بخش10-2-9-2مبحث10</t>
  </si>
  <si>
    <t>انتخاب و کنترل بولت های کف ستون(kg,cm)--باتوجه به بخش10-2-9-3مبحث10</t>
  </si>
  <si>
    <t>کنترل مقطعی از کف ستون شامل سخت کننده ها حالت1(kg,cm)--باتوجه به بخش10-2-5و10-2-6مبحث10</t>
  </si>
  <si>
    <t>کنترل مقطعی از کف ستون شامل سخت کننده ها حالت3(kg,cm)--باتوجه به بخش10-2-5و10-2-6مبحث10</t>
  </si>
  <si>
    <t>کنترل مقطعی از کف ستون شامل سخت کننده ها حالت2(kg,cm)--باتوجه به بخش10-2-5و10-2-6مبحث10</t>
  </si>
  <si>
    <r>
      <t>A</t>
    </r>
    <r>
      <rPr>
        <b/>
        <sz val="10"/>
        <color theme="0" tint="-4.9989318521683403E-2"/>
        <rFont val="Calibri"/>
        <family val="2"/>
        <scheme val="minor"/>
      </rPr>
      <t>p(A1) =</t>
    </r>
  </si>
  <si>
    <r>
      <t>(</t>
    </r>
    <r>
      <rPr>
        <b/>
        <sz val="9"/>
        <rFont val="B Nazanin"/>
        <charset val="178"/>
      </rPr>
      <t>هم مرکز نبودن ستون و کف ستون</t>
    </r>
    <r>
      <rPr>
        <b/>
        <sz val="10"/>
        <rFont val="B Nazanin"/>
        <charset val="178"/>
      </rPr>
      <t>)</t>
    </r>
    <r>
      <rPr>
        <b/>
        <sz val="9"/>
        <rFont val="B Nazanin"/>
        <charset val="178"/>
      </rPr>
      <t>eدر اثر بار محوری خارج از مرکز صفحه ستون</t>
    </r>
  </si>
  <si>
    <t>انتخاب و کنترل بولت های کف ستون حالت1و2(kg,cm)--باتوجه به بخش10-2-9-3مبحث10</t>
  </si>
  <si>
    <t>انتخاب و کنترل بولت های کف ستون حالت3(kg,cm)--باتوجه به بخش10-2-9-3مبحث10</t>
  </si>
  <si>
    <t xml:space="preserve"> قطر سوراخ استاندارد=</t>
  </si>
  <si>
    <t>قطر سوراخ بزرگ شده=</t>
  </si>
  <si>
    <t>&gt;&gt;control</t>
  </si>
  <si>
    <t>حداقل فاصله مرکز به مرکز سوراخ های استانداردوبزرگ شده</t>
  </si>
  <si>
    <t>حداکثر فاصله مرکز به مرکز در شرایط عادی و متوسط جوی</t>
  </si>
  <si>
    <t>حداکثر فاصله مرکز به مرکز در شرایط بد جوی</t>
  </si>
  <si>
    <t>USE =</t>
  </si>
  <si>
    <t>حداقل فاصله مرکز سوراخ از لبه با توجه به قطر سوراخ استاندارد</t>
  </si>
  <si>
    <t>حداقل فاصله مرکز سوراخ از لبه باتوجه به قطر سوراخ بزرگ شده</t>
  </si>
  <si>
    <t>حداکثر فاصله مرکزسوراخ تا لبه در شرایط عادی و متوسط جوی</t>
  </si>
  <si>
    <t>حداکثر فاصله مرکزسوراخ تا لبه در شرایط بد جوی</t>
  </si>
  <si>
    <t xml:space="preserve">&lt;&lt;&lt;کنترل مقادیر انتخاب شده برای فواصل مرکز و لبه سوراخ های بولت ها در امتداد مورد نظر </t>
  </si>
  <si>
    <t>مشخصات طول بولت های کف ستون و سوراخ ها(cm)--باتوجه به بخش10-2-9-3مبحث10و فصل 21مبحث9 و ضوابط مبحث11</t>
  </si>
  <si>
    <t>تهیه شده توسط مهندس صابر کلانتری                    شماره تماس:09375911372</t>
  </si>
  <si>
    <t>https://telegram.me/saber_kalantari72</t>
  </si>
  <si>
    <t>سحرگاهان</t>
  </si>
  <si>
    <r>
      <t xml:space="preserve">فقط در خانه های با پس زمینه </t>
    </r>
    <r>
      <rPr>
        <b/>
        <u/>
        <sz val="10"/>
        <rFont val="Arial Black"/>
        <family val="2"/>
      </rPr>
      <t>سبز</t>
    </r>
    <r>
      <rPr>
        <b/>
        <sz val="10"/>
        <rFont val="Arial Black"/>
        <family val="2"/>
      </rPr>
      <t xml:space="preserve"> مقادیر را وارد کنید</t>
    </r>
  </si>
  <si>
    <t xml:space="preserve">ای خوش آن عاشق صادق که به میدان محبت ، غرق خون گردد و در دامن جانانه دهد جان
 </t>
  </si>
  <si>
    <t>N=</t>
  </si>
  <si>
    <t>B or N=</t>
  </si>
  <si>
    <t>ناحیه 2(ورق چهار طرف تکیه دار)</t>
  </si>
  <si>
    <t>ناحیه 3(ورق سه طرف تکیه دار)</t>
  </si>
  <si>
    <r>
      <rPr>
        <b/>
        <sz val="10"/>
        <rFont val="B Nazanin"/>
        <charset val="178"/>
      </rPr>
      <t xml:space="preserve">ناحیه </t>
    </r>
    <r>
      <rPr>
        <b/>
        <sz val="11"/>
        <rFont val="B Nazanin"/>
        <charset val="178"/>
      </rPr>
      <t>3(</t>
    </r>
    <r>
      <rPr>
        <b/>
        <sz val="9"/>
        <rFont val="B Nazanin"/>
        <charset val="178"/>
      </rPr>
      <t>ورق سه طرف تکیه دار</t>
    </r>
    <r>
      <rPr>
        <b/>
        <sz val="11"/>
        <rFont val="B Nazanin"/>
        <charset val="178"/>
      </rPr>
      <t>)</t>
    </r>
  </si>
  <si>
    <r>
      <rPr>
        <b/>
        <sz val="10"/>
        <rFont val="B Nazanin"/>
        <charset val="178"/>
      </rPr>
      <t>ناحیه 2</t>
    </r>
    <r>
      <rPr>
        <b/>
        <sz val="9"/>
        <rFont val="B Nazanin"/>
        <charset val="178"/>
      </rPr>
      <t>(ورق چهار طرف تکیه دار)</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</si>
</sst>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60" x14ac:knownFonts="1">
    <font>
      <sz val="11"/>
      <color theme="1"/>
      <name val="Calibri"/>
      <family val="2"/>
      <scheme val="minor"/>
    </font>
    <font>
      <b/>
      <sz val="10"/>
      <color theme="1"/>
      <name val="Arial Black"/>
      <family val="2"/>
    </font>
    <font>
      <b/>
      <sz val="10"/>
      <color theme="1"/>
      <name val="B Nazanin"/>
      <charset val="178"/>
    </font>
    <font>
      <b/>
      <sz val="10"/>
      <name val="B Nazanin"/>
      <charset val="178"/>
    </font>
    <font>
      <b/>
      <sz val="11"/>
      <color theme="1"/>
      <name val="Calibri"/>
      <family val="2"/>
    </font>
    <font>
      <b/>
      <sz val="12"/>
      <color theme="1"/>
      <name val="Calibri"/>
      <family val="2"/>
    </font>
    <font>
      <b/>
      <sz val="10"/>
      <color theme="1"/>
      <name val="Calibri"/>
      <family val="2"/>
    </font>
    <font>
      <b/>
      <sz val="9"/>
      <color indexed="81"/>
      <name val="Tahoma"/>
      <family val="2"/>
    </font>
    <font>
      <b/>
      <sz val="11"/>
      <color theme="1"/>
      <name val="Arial Black"/>
      <family val="2"/>
    </font>
    <font>
      <b/>
      <sz val="11"/>
      <color theme="0"/>
      <name val="Arial Black"/>
      <family val="2"/>
    </font>
    <font>
      <b/>
      <sz val="8"/>
      <color theme="1"/>
      <name val="Arial Black"/>
      <family val="2"/>
    </font>
    <font>
      <sz val="9"/>
      <color indexed="81"/>
      <name val="Tahoma"/>
    </font>
    <font>
      <b/>
      <sz val="9"/>
      <color indexed="81"/>
      <name val="Tahoma"/>
    </font>
    <font>
      <b/>
      <sz val="10"/>
      <color theme="1"/>
      <name val="GreekC"/>
    </font>
    <font>
      <b/>
      <sz val="9"/>
      <color theme="1"/>
      <name val="MRT_Mitra_3"/>
      <charset val="178"/>
    </font>
    <font>
      <sz val="9"/>
      <color indexed="81"/>
      <name val="Tahoma"/>
      <family val="2"/>
    </font>
    <font>
      <b/>
      <sz val="8"/>
      <color indexed="81"/>
      <name val="Tahoma"/>
      <family val="2"/>
    </font>
    <font>
      <b/>
      <sz val="11"/>
      <color theme="1"/>
      <name val="Calibri"/>
      <family val="2"/>
      <scheme val="minor"/>
    </font>
    <font>
      <b/>
      <sz val="10"/>
      <color theme="1"/>
      <name val="Calibri"/>
      <family val="2"/>
      <scheme val="minor"/>
    </font>
    <font>
      <b/>
      <sz val="11"/>
      <color theme="0"/>
      <name val="Calibri"/>
      <family val="2"/>
      <scheme val="minor"/>
    </font>
    <font>
      <b/>
      <sz val="10"/>
      <color rgb="FFFF0000"/>
      <name val="B Nazanin"/>
      <charset val="178"/>
    </font>
    <font>
      <b/>
      <sz val="11"/>
      <color rgb="FFFF0000"/>
      <name val="B Nazanin"/>
      <charset val="178"/>
    </font>
    <font>
      <b/>
      <sz val="11"/>
      <color theme="1"/>
      <name val="B Nazanin"/>
      <charset val="178"/>
    </font>
    <font>
      <b/>
      <sz val="11"/>
      <name val="B Nazanin"/>
      <charset val="178"/>
    </font>
    <font>
      <b/>
      <u/>
      <sz val="9"/>
      <color indexed="81"/>
      <name val="Tahoma"/>
      <family val="2"/>
    </font>
    <font>
      <b/>
      <sz val="8"/>
      <color theme="8" tint="-0.249977111117893"/>
      <name val="B Nazanin"/>
      <charset val="178"/>
    </font>
    <font>
      <b/>
      <sz val="11"/>
      <color theme="0"/>
      <name val="B Nazanin"/>
      <charset val="178"/>
    </font>
    <font>
      <b/>
      <sz val="11"/>
      <name val="Calibri"/>
      <family val="2"/>
      <scheme val="minor"/>
    </font>
    <font>
      <b/>
      <sz val="9"/>
      <color theme="1"/>
      <name val="Calibri"/>
      <family val="2"/>
      <scheme val="minor"/>
    </font>
    <font>
      <b/>
      <sz val="11"/>
      <color rgb="FFFF0000"/>
      <name val="Calibri"/>
      <family val="2"/>
      <scheme val="minor"/>
    </font>
    <font>
      <b/>
      <sz val="9.8000000000000007"/>
      <color theme="1"/>
      <name val="Calibri"/>
      <family val="2"/>
    </font>
    <font>
      <b/>
      <sz val="11"/>
      <color theme="1"/>
      <name val="GreekC"/>
    </font>
    <font>
      <b/>
      <sz val="8"/>
      <color theme="1"/>
      <name val="GreekC"/>
    </font>
    <font>
      <b/>
      <sz val="9"/>
      <color theme="1"/>
      <name val="GreekC"/>
    </font>
    <font>
      <b/>
      <sz val="8"/>
      <color theme="1"/>
      <name val="Calibri"/>
      <family val="2"/>
      <scheme val="minor"/>
    </font>
    <font>
      <b/>
      <sz val="11"/>
      <color theme="0" tint="-0.14999847407452621"/>
      <name val="Calibri"/>
      <family val="2"/>
      <scheme val="minor"/>
    </font>
    <font>
      <b/>
      <sz val="9"/>
      <color theme="1"/>
      <name val="B Nazanin"/>
      <charset val="178"/>
    </font>
    <font>
      <b/>
      <sz val="9"/>
      <name val="Calibri"/>
      <family val="2"/>
      <scheme val="minor"/>
    </font>
    <font>
      <b/>
      <sz val="10"/>
      <name val="Calibri"/>
      <family val="2"/>
      <scheme val="minor"/>
    </font>
    <font>
      <b/>
      <sz val="8"/>
      <name val="Calibri"/>
      <family val="2"/>
      <scheme val="minor"/>
    </font>
    <font>
      <sz val="11"/>
      <name val="Calibri"/>
      <family val="2"/>
      <scheme val="minor"/>
    </font>
    <font>
      <b/>
      <sz val="11"/>
      <name val="Calibri"/>
      <family val="2"/>
    </font>
    <font>
      <b/>
      <sz val="10"/>
      <name val="Calibri"/>
      <family val="2"/>
    </font>
    <font>
      <b/>
      <sz val="9"/>
      <name val="B Nazanin"/>
      <charset val="178"/>
    </font>
    <font>
      <b/>
      <sz val="11"/>
      <name val="GreekC"/>
    </font>
    <font>
      <b/>
      <sz val="8"/>
      <name val="GreekC"/>
    </font>
    <font>
      <b/>
      <sz val="9.8000000000000007"/>
      <name val="Calibri"/>
      <family val="2"/>
    </font>
    <font>
      <b/>
      <sz val="8"/>
      <name val="B Nazanin"/>
      <charset val="178"/>
    </font>
    <font>
      <b/>
      <sz val="10"/>
      <name val="Arial Black"/>
      <family val="2"/>
    </font>
    <font>
      <b/>
      <sz val="11"/>
      <name val="B Farnaz"/>
      <charset val="178"/>
    </font>
    <font>
      <b/>
      <sz val="14"/>
      <color theme="0"/>
      <name val="B Nazanin"/>
      <charset val="178"/>
    </font>
    <font>
      <b/>
      <sz val="10.4"/>
      <color theme="1"/>
      <name val="B Nazanin"/>
      <charset val="178"/>
    </font>
    <font>
      <b/>
      <sz val="11"/>
      <color theme="0" tint="-4.9989318521683403E-2"/>
      <name val="Calibri"/>
      <family val="2"/>
      <scheme val="minor"/>
    </font>
    <font>
      <b/>
      <sz val="10"/>
      <color theme="0" tint="-4.9989318521683403E-2"/>
      <name val="Calibri"/>
      <family val="2"/>
      <scheme val="minor"/>
    </font>
    <font>
      <b/>
      <sz val="11"/>
      <color theme="1" tint="4.9989318521683403E-2"/>
      <name val="Calibri"/>
      <family val="2"/>
      <scheme val="minor"/>
    </font>
    <font>
      <sz val="11"/>
      <color rgb="FFFF0000"/>
      <name val="B Titr"/>
      <charset val="178"/>
    </font>
    <font>
      <b/>
      <sz val="22"/>
      <name val="IranNastaliq"/>
      <family val="1"/>
    </font>
    <font>
      <u/>
      <sz val="11"/>
      <color theme="10"/>
      <name val="Calibri"/>
      <family val="2"/>
      <scheme val="minor"/>
    </font>
    <font>
      <b/>
      <sz val="16"/>
      <color rgb="FFFF0000"/>
      <name val="IranNastaliq"/>
      <family val="1"/>
    </font>
    <font>
      <b/>
      <u/>
      <sz val="10"/>
      <name val="Arial Black"/>
      <family val="2"/>
    </font>
  </fonts>
  <fills count="41">
    <fill>
      <patternFill patternType="none"/>
    </fill>
    <fill>
      <patternFill patternType="gray125"/>
    </fill>
    <fill>
      <patternFill patternType="solid">
        <fgColor rgb="FFFF0000"/>
        <bgColor indexed="64"/>
      </patternFill>
    </fill>
    <fill>
      <patternFill patternType="solid">
        <fgColor rgb="FF13CB3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00B0F0"/>
        <bgColor indexed="64"/>
      </patternFill>
    </fill>
    <fill>
      <patternFill patternType="solid">
        <fgColor theme="7"/>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bgColor indexed="64"/>
      </patternFill>
    </fill>
    <fill>
      <patternFill patternType="solid">
        <fgColor theme="6"/>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E8130E"/>
        <bgColor indexed="64"/>
      </patternFill>
    </fill>
    <fill>
      <patternFill patternType="solid">
        <fgColor theme="7" tint="-0.249977111117893"/>
        <bgColor indexed="64"/>
      </patternFill>
    </fill>
    <fill>
      <patternFill patternType="solid">
        <fgColor rgb="FF92D050"/>
        <bgColor indexed="64"/>
      </patternFill>
    </fill>
    <fill>
      <patternFill patternType="solid">
        <fgColor theme="0" tint="-0.34998626667073579"/>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Dashed">
        <color theme="3" tint="0.39997558519241921"/>
      </left>
      <right/>
      <top style="mediumDashed">
        <color theme="3" tint="0.39997558519241921"/>
      </top>
      <bottom style="mediumDashed">
        <color theme="3" tint="0.39997558519241921"/>
      </bottom>
      <diagonal/>
    </border>
    <border>
      <left/>
      <right style="mediumDashed">
        <color theme="3" tint="0.39997558519241921"/>
      </right>
      <top style="mediumDashed">
        <color theme="3" tint="0.39997558519241921"/>
      </top>
      <bottom style="mediumDashed">
        <color theme="3" tint="0.39997558519241921"/>
      </bottom>
      <diagonal/>
    </border>
    <border>
      <left style="mediumDashed">
        <color theme="3" tint="0.39997558519241921"/>
      </left>
      <right/>
      <top/>
      <bottom/>
      <diagonal/>
    </border>
    <border>
      <left/>
      <right style="mediumDashed">
        <color theme="3" tint="0.39997558519241921"/>
      </right>
      <top/>
      <bottom/>
      <diagonal/>
    </border>
    <border>
      <left style="mediumDashed">
        <color theme="3" tint="0.39997558519241921"/>
      </left>
      <right/>
      <top/>
      <bottom style="mediumDashed">
        <color theme="3" tint="0.39997558519241921"/>
      </bottom>
      <diagonal/>
    </border>
    <border>
      <left style="mediumDashed">
        <color theme="3" tint="0.39997558519241921"/>
      </left>
      <right style="mediumDashed">
        <color theme="3" tint="0.39997558519241921"/>
      </right>
      <top/>
      <bottom style="mediumDashed">
        <color theme="3" tint="0.39997558519241921"/>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thin">
        <color indexed="64"/>
      </top>
      <bottom style="dashDotDot">
        <color indexed="64"/>
      </bottom>
      <diagonal/>
    </border>
    <border>
      <left style="medium">
        <color indexed="64"/>
      </left>
      <right style="mediumDashed">
        <color theme="3" tint="0.39997558519241921"/>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Dashed">
        <color theme="3" tint="0.39997558519241921"/>
      </right>
      <top/>
      <bottom style="mediumDashed">
        <color theme="3" tint="0.39997558519241921"/>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7" fillId="0" borderId="0" applyNumberFormat="0" applyFill="0" applyBorder="0" applyAlignment="0" applyProtection="0"/>
  </cellStyleXfs>
  <cellXfs count="630">
    <xf numFmtId="0" fontId="0" fillId="0" borderId="0" xfId="0"/>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6" borderId="3"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8" fillId="12" borderId="35" xfId="0" applyFont="1" applyFill="1" applyBorder="1" applyAlignment="1" applyProtection="1">
      <alignment horizontal="center" vertical="center"/>
    </xf>
    <xf numFmtId="0" fontId="0" fillId="0" borderId="0" xfId="0" applyAlignment="1">
      <alignment horizontal="center" vertical="center"/>
    </xf>
    <xf numFmtId="0" fontId="20" fillId="5" borderId="0" xfId="0" applyFont="1" applyFill="1" applyBorder="1" applyAlignment="1" applyProtection="1">
      <alignment horizontal="center" vertical="center"/>
    </xf>
    <xf numFmtId="0" fontId="21" fillId="5" borderId="0" xfId="0" applyFont="1" applyFill="1" applyBorder="1" applyAlignment="1" applyProtection="1">
      <alignment horizontal="center"/>
    </xf>
    <xf numFmtId="0" fontId="21" fillId="5" borderId="37" xfId="0" applyFont="1" applyFill="1" applyBorder="1" applyAlignment="1" applyProtection="1">
      <alignment horizontal="center"/>
    </xf>
    <xf numFmtId="0" fontId="27" fillId="3" borderId="8" xfId="0" applyFont="1" applyFill="1" applyBorder="1" applyAlignment="1">
      <alignment horizontal="center" vertical="center"/>
    </xf>
    <xf numFmtId="0" fontId="27" fillId="3" borderId="1" xfId="0" applyFont="1" applyFill="1" applyBorder="1" applyAlignment="1">
      <alignment horizontal="center" vertical="center"/>
    </xf>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7" fillId="0" borderId="8" xfId="0" applyFont="1" applyBorder="1" applyAlignment="1">
      <alignment horizontal="center" vertical="center"/>
    </xf>
    <xf numFmtId="0" fontId="4" fillId="0" borderId="8" xfId="0" applyFont="1" applyBorder="1" applyAlignment="1">
      <alignment horizontal="center" vertical="center"/>
    </xf>
    <xf numFmtId="0" fontId="17" fillId="0" borderId="9" xfId="0" applyFont="1" applyBorder="1" applyAlignment="1">
      <alignment horizontal="center" vertical="center"/>
    </xf>
    <xf numFmtId="0" fontId="17" fillId="0" borderId="0" xfId="0" applyFont="1" applyAlignment="1">
      <alignment horizontal="center" vertical="center"/>
    </xf>
    <xf numFmtId="0" fontId="17" fillId="0" borderId="0" xfId="0" applyFont="1" applyFill="1" applyAlignment="1">
      <alignment horizontal="center" vertical="center"/>
    </xf>
    <xf numFmtId="0" fontId="1" fillId="2" borderId="3"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1" xfId="0" applyFont="1" applyFill="1" applyBorder="1" applyAlignment="1">
      <alignment horizontal="center" vertical="center"/>
    </xf>
    <xf numFmtId="0" fontId="17" fillId="0" borderId="3" xfId="0" applyFont="1" applyBorder="1" applyAlignment="1">
      <alignment horizontal="center" vertical="center"/>
    </xf>
    <xf numFmtId="0" fontId="17" fillId="8" borderId="7" xfId="0" applyFont="1" applyFill="1" applyBorder="1" applyAlignment="1">
      <alignment horizontal="center" vertical="center"/>
    </xf>
    <xf numFmtId="0" fontId="17" fillId="8" borderId="8" xfId="0" applyFont="1" applyFill="1" applyBorder="1" applyAlignment="1">
      <alignment horizontal="center" vertical="center"/>
    </xf>
    <xf numFmtId="0" fontId="17" fillId="0" borderId="0" xfId="0" applyFont="1" applyAlignment="1">
      <alignment horizontal="center" vertical="center"/>
    </xf>
    <xf numFmtId="0" fontId="27" fillId="0" borderId="0" xfId="0" applyFont="1" applyAlignment="1">
      <alignment horizontal="center" vertical="center"/>
    </xf>
    <xf numFmtId="2" fontId="17" fillId="0" borderId="0" xfId="0" applyNumberFormat="1" applyFont="1" applyAlignment="1">
      <alignment horizontal="center" vertical="center"/>
    </xf>
    <xf numFmtId="0" fontId="17" fillId="8" borderId="6" xfId="0" applyFont="1" applyFill="1" applyBorder="1" applyAlignment="1">
      <alignment horizontal="center" vertical="center"/>
    </xf>
    <xf numFmtId="2" fontId="31" fillId="2" borderId="1" xfId="0" applyNumberFormat="1" applyFont="1" applyFill="1" applyBorder="1" applyAlignment="1">
      <alignment horizontal="center" vertical="center"/>
    </xf>
    <xf numFmtId="0" fontId="17" fillId="0" borderId="0" xfId="0" applyFont="1" applyAlignment="1">
      <alignment horizontal="center" vertical="center" wrapText="1"/>
    </xf>
    <xf numFmtId="0" fontId="8" fillId="13" borderId="36" xfId="0" applyFont="1" applyFill="1" applyBorder="1" applyAlignment="1" applyProtection="1">
      <alignment horizontal="center" vertical="center"/>
    </xf>
    <xf numFmtId="0" fontId="8" fillId="0" borderId="0" xfId="0" applyFont="1" applyAlignment="1" applyProtection="1">
      <alignment horizontal="center" vertical="center"/>
    </xf>
    <xf numFmtId="0" fontId="1" fillId="0" borderId="0"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xf>
    <xf numFmtId="2" fontId="17" fillId="0" borderId="0" xfId="0" applyNumberFormat="1" applyFont="1" applyAlignment="1">
      <alignment horizontal="center" vertical="center" readingOrder="1"/>
    </xf>
    <xf numFmtId="0" fontId="19" fillId="0" borderId="0" xfId="0" applyFont="1" applyFill="1" applyAlignment="1">
      <alignment horizontal="center" vertical="center"/>
    </xf>
    <xf numFmtId="0" fontId="22" fillId="0" borderId="0" xfId="0" applyFont="1" applyFill="1" applyBorder="1" applyAlignment="1">
      <alignment vertical="center"/>
    </xf>
    <xf numFmtId="2" fontId="17" fillId="0" borderId="1" xfId="0" applyNumberFormat="1" applyFont="1" applyBorder="1" applyAlignment="1">
      <alignment horizontal="center" vertical="center"/>
    </xf>
    <xf numFmtId="0" fontId="27" fillId="0" borderId="4" xfId="0" applyFont="1" applyBorder="1" applyAlignment="1">
      <alignment horizontal="center" vertical="center"/>
    </xf>
    <xf numFmtId="2" fontId="17" fillId="0" borderId="6" xfId="0" applyNumberFormat="1" applyFont="1" applyBorder="1" applyAlignment="1">
      <alignment horizontal="center" vertical="center"/>
    </xf>
    <xf numFmtId="0" fontId="26" fillId="19" borderId="8"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38" xfId="0" applyFont="1" applyFill="1" applyBorder="1" applyAlignment="1">
      <alignment horizontal="center" vertical="center"/>
    </xf>
    <xf numFmtId="0" fontId="17" fillId="20" borderId="45" xfId="0" applyFont="1" applyFill="1" applyBorder="1" applyAlignment="1">
      <alignment horizontal="center" vertical="center"/>
    </xf>
    <xf numFmtId="0" fontId="2" fillId="0" borderId="0" xfId="0" applyFont="1" applyFill="1" applyAlignment="1">
      <alignment horizontal="center" vertical="center"/>
    </xf>
    <xf numFmtId="0" fontId="35" fillId="0" borderId="0" xfId="0" applyFont="1" applyProtection="1"/>
    <xf numFmtId="0" fontId="2" fillId="5" borderId="34" xfId="0" applyFont="1" applyFill="1" applyBorder="1" applyAlignment="1" applyProtection="1">
      <alignment horizontal="center" vertical="center"/>
    </xf>
    <xf numFmtId="0" fontId="2" fillId="5" borderId="33" xfId="0" applyFont="1" applyFill="1" applyBorder="1" applyAlignment="1" applyProtection="1">
      <alignment horizontal="center" vertical="center"/>
    </xf>
    <xf numFmtId="0" fontId="17" fillId="0" borderId="1" xfId="0" applyFont="1" applyBorder="1" applyAlignment="1">
      <alignment horizontal="center" vertical="center"/>
    </xf>
    <xf numFmtId="0" fontId="2" fillId="0" borderId="0" xfId="0" applyFont="1" applyAlignment="1">
      <alignment horizontal="center" vertical="center" readingOrder="1"/>
    </xf>
    <xf numFmtId="0" fontId="17" fillId="0" borderId="0" xfId="0" applyFont="1" applyAlignment="1">
      <alignment horizontal="center" vertical="center"/>
    </xf>
    <xf numFmtId="0" fontId="20" fillId="5" borderId="0" xfId="0" applyFont="1" applyFill="1" applyBorder="1" applyAlignment="1" applyProtection="1">
      <alignment horizontal="center" vertical="center"/>
    </xf>
    <xf numFmtId="0" fontId="22" fillId="0" borderId="0" xfId="0" applyFont="1" applyBorder="1" applyAlignment="1">
      <alignment vertical="center"/>
    </xf>
    <xf numFmtId="0" fontId="17" fillId="0" borderId="0" xfId="0" applyFont="1" applyBorder="1" applyAlignment="1">
      <alignment horizontal="center" vertical="center"/>
    </xf>
    <xf numFmtId="164" fontId="17" fillId="0" borderId="1" xfId="0" applyNumberFormat="1"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pplyProtection="1">
      <alignment horizontal="center" vertical="center"/>
      <protection locked="0"/>
    </xf>
    <xf numFmtId="1" fontId="17" fillId="0" borderId="1" xfId="0" applyNumberFormat="1" applyFont="1" applyBorder="1" applyAlignment="1">
      <alignment horizontal="center" vertical="center"/>
    </xf>
    <xf numFmtId="2" fontId="17" fillId="0" borderId="3" xfId="0" applyNumberFormat="1" applyFont="1" applyFill="1" applyBorder="1" applyAlignment="1">
      <alignment horizontal="center" vertical="center"/>
    </xf>
    <xf numFmtId="2" fontId="17" fillId="0" borderId="8" xfId="0" applyNumberFormat="1" applyFont="1" applyFill="1" applyBorder="1" applyAlignment="1">
      <alignment horizontal="center" vertical="center"/>
    </xf>
    <xf numFmtId="0" fontId="27" fillId="0" borderId="1" xfId="0" applyFont="1" applyFill="1" applyBorder="1" applyAlignment="1" applyProtection="1">
      <alignment horizontal="center" vertical="center"/>
    </xf>
    <xf numFmtId="0" fontId="17" fillId="23" borderId="1" xfId="0" applyFont="1" applyFill="1" applyBorder="1" applyAlignment="1">
      <alignment horizontal="center" vertical="center"/>
    </xf>
    <xf numFmtId="0" fontId="29" fillId="23" borderId="1" xfId="0" applyFont="1" applyFill="1" applyBorder="1" applyAlignment="1">
      <alignment horizontal="center" vertical="center"/>
    </xf>
    <xf numFmtId="0" fontId="27" fillId="0" borderId="0" xfId="0" applyFont="1" applyFill="1" applyAlignment="1">
      <alignment horizontal="center" vertical="center"/>
    </xf>
    <xf numFmtId="0" fontId="17" fillId="0" borderId="2" xfId="0" applyFont="1" applyBorder="1" applyAlignment="1">
      <alignment horizontal="center" vertical="center"/>
    </xf>
    <xf numFmtId="0" fontId="27" fillId="0" borderId="3" xfId="0" applyFont="1" applyBorder="1" applyAlignment="1">
      <alignment horizontal="center" vertical="center"/>
    </xf>
    <xf numFmtId="0" fontId="17" fillId="0" borderId="5" xfId="0" applyFont="1" applyBorder="1" applyAlignment="1">
      <alignment horizontal="center" vertical="center"/>
    </xf>
    <xf numFmtId="0" fontId="27" fillId="0" borderId="6" xfId="0" applyFont="1" applyBorder="1" applyAlignment="1">
      <alignment horizontal="center" vertical="center"/>
    </xf>
    <xf numFmtId="0" fontId="17" fillId="0" borderId="8" xfId="0" applyFont="1" applyFill="1" applyBorder="1" applyAlignment="1">
      <alignment horizontal="center" vertical="center"/>
    </xf>
    <xf numFmtId="0" fontId="27" fillId="0" borderId="0" xfId="0" applyFont="1"/>
    <xf numFmtId="0" fontId="40" fillId="0" borderId="0" xfId="0" applyFont="1"/>
    <xf numFmtId="0" fontId="27" fillId="0" borderId="2" xfId="0" applyFont="1" applyBorder="1" applyAlignment="1">
      <alignment horizontal="center" vertical="center"/>
    </xf>
    <xf numFmtId="0" fontId="41" fillId="0" borderId="3" xfId="0" applyFont="1" applyBorder="1" applyAlignment="1">
      <alignment horizontal="center" vertical="center"/>
    </xf>
    <xf numFmtId="0" fontId="27" fillId="0" borderId="5" xfId="0" applyFont="1" applyBorder="1" applyAlignment="1">
      <alignment horizontal="center" vertical="center"/>
    </xf>
    <xf numFmtId="0" fontId="41" fillId="0" borderId="1" xfId="0" applyFont="1" applyBorder="1" applyAlignment="1">
      <alignment horizontal="center" vertical="center"/>
    </xf>
    <xf numFmtId="0" fontId="27" fillId="0" borderId="38" xfId="0" applyFont="1" applyBorder="1" applyAlignment="1">
      <alignment horizontal="center" vertical="center"/>
    </xf>
    <xf numFmtId="0" fontId="27" fillId="0" borderId="22"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41" fillId="0" borderId="8" xfId="0" applyFont="1" applyBorder="1" applyAlignment="1">
      <alignment horizontal="center" vertical="center"/>
    </xf>
    <xf numFmtId="0" fontId="27" fillId="20" borderId="1" xfId="0" applyFont="1" applyFill="1" applyBorder="1" applyAlignment="1">
      <alignment horizontal="center" vertical="center"/>
    </xf>
    <xf numFmtId="0" fontId="27" fillId="0" borderId="1" xfId="0" applyFont="1" applyFill="1" applyBorder="1" applyAlignment="1">
      <alignment horizontal="center" vertical="center"/>
    </xf>
    <xf numFmtId="2" fontId="27" fillId="0" borderId="1" xfId="0" applyNumberFormat="1" applyFont="1" applyBorder="1" applyAlignment="1">
      <alignment horizontal="center" vertical="center"/>
    </xf>
    <xf numFmtId="0" fontId="27" fillId="17" borderId="15"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Border="1" applyAlignment="1">
      <alignment horizontal="center" vertical="center"/>
    </xf>
    <xf numFmtId="0" fontId="23" fillId="0" borderId="5" xfId="0" applyFont="1" applyBorder="1" applyAlignment="1">
      <alignment horizontal="center" vertical="center"/>
    </xf>
    <xf numFmtId="0" fontId="27" fillId="20" borderId="3" xfId="0" applyFont="1" applyFill="1" applyBorder="1" applyAlignment="1">
      <alignment horizontal="center" vertical="center"/>
    </xf>
    <xf numFmtId="0" fontId="27" fillId="0" borderId="0" xfId="0" applyFont="1" applyAlignment="1">
      <alignment vertical="center"/>
    </xf>
    <xf numFmtId="2" fontId="27" fillId="0" borderId="0" xfId="0" applyNumberFormat="1" applyFont="1" applyFill="1" applyAlignment="1">
      <alignment horizontal="center" vertical="center"/>
    </xf>
    <xf numFmtId="0" fontId="27" fillId="0" borderId="1" xfId="0" applyFont="1" applyBorder="1" applyAlignment="1">
      <alignment vertical="center"/>
    </xf>
    <xf numFmtId="0" fontId="27" fillId="0" borderId="6" xfId="0" applyFont="1" applyFill="1" applyBorder="1" applyAlignment="1">
      <alignment horizontal="center" vertical="center"/>
    </xf>
    <xf numFmtId="0" fontId="27" fillId="0" borderId="5" xfId="0" applyFont="1" applyBorder="1" applyAlignment="1">
      <alignment horizontal="center" vertical="center" readingOrder="2"/>
    </xf>
    <xf numFmtId="0" fontId="27" fillId="0" borderId="7" xfId="0" applyFont="1" applyBorder="1" applyAlignment="1">
      <alignment horizontal="center" vertical="center" readingOrder="2"/>
    </xf>
    <xf numFmtId="0" fontId="27" fillId="0" borderId="8" xfId="0" applyFont="1" applyBorder="1" applyAlignment="1">
      <alignment vertical="center"/>
    </xf>
    <xf numFmtId="0" fontId="27" fillId="0" borderId="9" xfId="0" applyFont="1" applyBorder="1" applyAlignment="1">
      <alignment vertical="center"/>
    </xf>
    <xf numFmtId="0" fontId="27" fillId="0" borderId="3" xfId="0" applyFont="1" applyFill="1" applyBorder="1" applyAlignment="1">
      <alignment horizontal="center" vertical="center"/>
    </xf>
    <xf numFmtId="0" fontId="3" fillId="6" borderId="2" xfId="0" applyFont="1" applyFill="1" applyBorder="1" applyAlignment="1">
      <alignment horizontal="center" vertical="center"/>
    </xf>
    <xf numFmtId="0" fontId="48" fillId="6" borderId="3" xfId="0" applyFont="1" applyFill="1" applyBorder="1" applyAlignment="1">
      <alignment horizontal="center" vertical="center"/>
    </xf>
    <xf numFmtId="2" fontId="44" fillId="0" borderId="1" xfId="0" applyNumberFormat="1" applyFont="1" applyBorder="1" applyAlignment="1">
      <alignment horizontal="center" vertical="center"/>
    </xf>
    <xf numFmtId="0" fontId="27" fillId="8" borderId="5" xfId="0" applyFont="1" applyFill="1" applyBorder="1" applyAlignment="1">
      <alignment horizontal="center" vertical="center"/>
    </xf>
    <xf numFmtId="0" fontId="27" fillId="8" borderId="1" xfId="0" applyFont="1" applyFill="1" applyBorder="1" applyAlignment="1">
      <alignment horizontal="center" vertical="center"/>
    </xf>
    <xf numFmtId="0" fontId="27" fillId="0" borderId="5" xfId="0" applyFont="1" applyFill="1" applyBorder="1" applyAlignment="1">
      <alignment horizontal="center" vertical="center"/>
    </xf>
    <xf numFmtId="0" fontId="27" fillId="8" borderId="7" xfId="0" applyFont="1" applyFill="1" applyBorder="1" applyAlignment="1">
      <alignment horizontal="center" vertical="center"/>
    </xf>
    <xf numFmtId="0" fontId="27" fillId="8" borderId="8" xfId="0" applyFont="1" applyFill="1" applyBorder="1" applyAlignment="1">
      <alignment horizontal="center" vertical="center"/>
    </xf>
    <xf numFmtId="0" fontId="27" fillId="0" borderId="12" xfId="0" applyFont="1" applyBorder="1" applyAlignment="1">
      <alignment horizontal="center" vertical="center"/>
    </xf>
    <xf numFmtId="0" fontId="27" fillId="0" borderId="26" xfId="0" applyFont="1" applyBorder="1" applyAlignment="1">
      <alignment horizontal="center" vertical="center"/>
    </xf>
    <xf numFmtId="0" fontId="27" fillId="0" borderId="30" xfId="0" applyFont="1" applyBorder="1" applyAlignment="1">
      <alignment horizontal="center" vertical="center"/>
    </xf>
    <xf numFmtId="0" fontId="27" fillId="0" borderId="41" xfId="0" applyFont="1" applyBorder="1" applyAlignment="1">
      <alignment horizontal="center" vertical="center"/>
    </xf>
    <xf numFmtId="0" fontId="27" fillId="0" borderId="1" xfId="0" applyFont="1" applyBorder="1"/>
    <xf numFmtId="0" fontId="27" fillId="0" borderId="5" xfId="0" applyFont="1" applyBorder="1" applyAlignment="1">
      <alignment horizontal="center" vertical="center" readingOrder="1"/>
    </xf>
    <xf numFmtId="0" fontId="27" fillId="20" borderId="5" xfId="0" applyFont="1" applyFill="1" applyBorder="1" applyAlignment="1">
      <alignment horizontal="center" vertical="center"/>
    </xf>
    <xf numFmtId="0" fontId="27" fillId="0" borderId="5" xfId="0" applyFont="1" applyBorder="1" applyAlignment="1">
      <alignment vertical="center"/>
    </xf>
    <xf numFmtId="0" fontId="27" fillId="0" borderId="8" xfId="0" applyFont="1" applyBorder="1"/>
    <xf numFmtId="0" fontId="27" fillId="0" borderId="59" xfId="0" applyFont="1" applyBorder="1" applyAlignment="1">
      <alignment horizontal="center" vertical="center"/>
    </xf>
    <xf numFmtId="2" fontId="27" fillId="0" borderId="3" xfId="0" applyNumberFormat="1" applyFont="1" applyBorder="1" applyAlignment="1">
      <alignment horizontal="center" vertical="center"/>
    </xf>
    <xf numFmtId="0" fontId="27" fillId="0" borderId="7" xfId="0" applyFont="1" applyBorder="1" applyAlignment="1">
      <alignment horizontal="center" vertical="center" readingOrder="1"/>
    </xf>
    <xf numFmtId="0" fontId="27" fillId="0" borderId="9" xfId="0" applyFont="1" applyBorder="1"/>
    <xf numFmtId="0" fontId="41" fillId="0" borderId="52"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21" fillId="5" borderId="50" xfId="0" applyFont="1" applyFill="1" applyBorder="1" applyAlignment="1" applyProtection="1">
      <alignment horizontal="center"/>
    </xf>
    <xf numFmtId="0" fontId="27" fillId="27" borderId="0" xfId="0" applyFont="1" applyFill="1" applyBorder="1" applyAlignment="1">
      <alignment vertical="center"/>
    </xf>
    <xf numFmtId="0" fontId="27" fillId="27" borderId="50" xfId="0" applyFont="1" applyFill="1" applyBorder="1" applyAlignment="1">
      <alignment vertical="center"/>
    </xf>
    <xf numFmtId="0" fontId="8" fillId="0" borderId="0" xfId="0" applyFont="1" applyBorder="1" applyAlignment="1">
      <alignment horizontal="center" vertical="center"/>
    </xf>
    <xf numFmtId="0" fontId="2" fillId="0" borderId="0" xfId="0" applyFont="1" applyBorder="1" applyAlignment="1">
      <alignment horizontal="center" vertical="center" readingOrder="1"/>
    </xf>
    <xf numFmtId="0" fontId="5" fillId="0" borderId="0" xfId="0" applyFont="1" applyBorder="1" applyAlignment="1">
      <alignment horizontal="center" vertical="center"/>
    </xf>
    <xf numFmtId="0" fontId="27" fillId="3" borderId="22" xfId="0" applyFont="1" applyFill="1" applyBorder="1" applyAlignment="1" applyProtection="1">
      <alignment horizontal="center" vertical="center"/>
      <protection locked="0"/>
    </xf>
    <xf numFmtId="0" fontId="27" fillId="3" borderId="40" xfId="0" applyFont="1" applyFill="1" applyBorder="1" applyAlignment="1" applyProtection="1">
      <alignment horizontal="center" vertical="center"/>
      <protection locked="0"/>
    </xf>
    <xf numFmtId="0" fontId="27" fillId="3" borderId="8" xfId="0" applyFont="1" applyFill="1" applyBorder="1" applyAlignment="1" applyProtection="1">
      <alignment horizontal="center" vertical="center"/>
      <protection locked="0"/>
    </xf>
    <xf numFmtId="0" fontId="27" fillId="3" borderId="6" xfId="0" applyFont="1" applyFill="1" applyBorder="1" applyAlignment="1" applyProtection="1">
      <alignment horizontal="center" vertical="center"/>
      <protection locked="0"/>
    </xf>
    <xf numFmtId="0" fontId="27" fillId="3" borderId="23"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27" fillId="3" borderId="9"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protection locked="0"/>
    </xf>
    <xf numFmtId="0" fontId="27" fillId="3" borderId="26" xfId="0" applyFont="1" applyFill="1" applyBorder="1" applyAlignment="1" applyProtection="1">
      <alignment horizontal="center" vertical="center"/>
      <protection locked="0"/>
    </xf>
    <xf numFmtId="0" fontId="27" fillId="3" borderId="12" xfId="0" applyFont="1" applyFill="1" applyBorder="1" applyAlignment="1" applyProtection="1">
      <alignment horizontal="center" vertical="center"/>
      <protection locked="0"/>
    </xf>
    <xf numFmtId="0" fontId="27" fillId="3" borderId="43" xfId="0" applyFont="1" applyFill="1" applyBorder="1" applyAlignment="1" applyProtection="1">
      <alignment horizontal="center" vertical="center"/>
      <protection locked="0"/>
    </xf>
    <xf numFmtId="2" fontId="37" fillId="3" borderId="3" xfId="0" applyNumberFormat="1" applyFont="1" applyFill="1" applyBorder="1" applyAlignment="1" applyProtection="1">
      <alignment horizontal="center" vertical="center"/>
      <protection locked="0"/>
    </xf>
    <xf numFmtId="0" fontId="38" fillId="3" borderId="4" xfId="0" applyFont="1" applyFill="1" applyBorder="1" applyAlignment="1" applyProtection="1">
      <alignment horizontal="center" vertical="center"/>
      <protection locked="0"/>
    </xf>
    <xf numFmtId="0" fontId="2" fillId="0" borderId="41" xfId="0" applyFont="1" applyBorder="1" applyAlignment="1">
      <alignment horizontal="center" vertical="center" readingOrder="1"/>
    </xf>
    <xf numFmtId="0" fontId="27" fillId="3" borderId="42" xfId="0" applyFont="1" applyFill="1" applyBorder="1" applyAlignment="1" applyProtection="1">
      <alignment horizontal="center" vertical="center"/>
      <protection locked="0"/>
    </xf>
    <xf numFmtId="2" fontId="13" fillId="0" borderId="42" xfId="0" applyNumberFormat="1" applyFont="1" applyBorder="1" applyAlignment="1">
      <alignment horizontal="center" vertical="center"/>
    </xf>
    <xf numFmtId="2" fontId="37" fillId="3" borderId="42" xfId="0" applyNumberFormat="1" applyFont="1" applyFill="1" applyBorder="1" applyAlignment="1" applyProtection="1">
      <alignment horizontal="center" vertical="center"/>
      <protection locked="0"/>
    </xf>
    <xf numFmtId="2" fontId="2" fillId="0" borderId="42" xfId="0" applyNumberFormat="1" applyFont="1" applyBorder="1" applyAlignment="1">
      <alignment horizontal="left" vertical="center"/>
    </xf>
    <xf numFmtId="0" fontId="17" fillId="0" borderId="42" xfId="0" applyFont="1" applyBorder="1" applyAlignment="1">
      <alignment horizontal="center" vertical="center"/>
    </xf>
    <xf numFmtId="0" fontId="18" fillId="0" borderId="0" xfId="0" applyFont="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27" fillId="0" borderId="26" xfId="0" applyFont="1" applyBorder="1" applyAlignment="1">
      <alignment horizontal="center" vertical="center"/>
    </xf>
    <xf numFmtId="0" fontId="27" fillId="3" borderId="3"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protection locked="0"/>
    </xf>
    <xf numFmtId="0" fontId="27" fillId="0" borderId="59" xfId="0" applyFont="1" applyBorder="1" applyAlignment="1">
      <alignment horizontal="center" vertical="center"/>
    </xf>
    <xf numFmtId="0" fontId="17" fillId="23" borderId="5" xfId="0" applyFont="1" applyFill="1" applyBorder="1" applyAlignment="1">
      <alignment horizontal="center" vertical="center"/>
    </xf>
    <xf numFmtId="0" fontId="17" fillId="23" borderId="7" xfId="0" applyFont="1" applyFill="1" applyBorder="1" applyAlignment="1">
      <alignment horizontal="center" vertical="center"/>
    </xf>
    <xf numFmtId="0" fontId="17" fillId="10" borderId="1" xfId="0" applyFont="1" applyFill="1" applyBorder="1" applyAlignment="1">
      <alignment horizontal="center" vertical="center"/>
    </xf>
    <xf numFmtId="0" fontId="17" fillId="21" borderId="38" xfId="0" applyFont="1" applyFill="1" applyBorder="1" applyAlignment="1">
      <alignment horizontal="center" vertical="center"/>
    </xf>
    <xf numFmtId="0" fontId="17" fillId="21" borderId="5" xfId="0" applyFont="1" applyFill="1" applyBorder="1" applyAlignment="1">
      <alignment horizontal="center" vertical="center"/>
    </xf>
    <xf numFmtId="0" fontId="17" fillId="21" borderId="7" xfId="0" applyFont="1" applyFill="1" applyBorder="1" applyAlignment="1">
      <alignment horizontal="center" vertical="center"/>
    </xf>
    <xf numFmtId="0" fontId="17" fillId="21" borderId="1" xfId="0" applyFont="1" applyFill="1" applyBorder="1" applyAlignment="1">
      <alignment horizontal="center" vertical="center"/>
    </xf>
    <xf numFmtId="0" fontId="4" fillId="21" borderId="22"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8" xfId="0" applyFont="1" applyFill="1" applyBorder="1" applyAlignment="1">
      <alignment horizontal="center" vertical="center"/>
    </xf>
    <xf numFmtId="0" fontId="17" fillId="21" borderId="22" xfId="0" applyFont="1" applyFill="1" applyBorder="1" applyAlignment="1">
      <alignment horizontal="center" vertical="center"/>
    </xf>
    <xf numFmtId="0" fontId="17" fillId="23" borderId="8" xfId="0" applyFont="1" applyFill="1" applyBorder="1" applyAlignment="1">
      <alignment horizontal="center" vertical="center"/>
    </xf>
    <xf numFmtId="0" fontId="17" fillId="23" borderId="9" xfId="0" applyFont="1" applyFill="1" applyBorder="1" applyAlignment="1">
      <alignment horizontal="center" vertical="center"/>
    </xf>
    <xf numFmtId="0" fontId="17" fillId="10" borderId="3" xfId="0" applyFont="1" applyFill="1" applyBorder="1" applyAlignment="1">
      <alignment horizontal="center" vertical="center"/>
    </xf>
    <xf numFmtId="0" fontId="17" fillId="28" borderId="2" xfId="0" applyFont="1" applyFill="1" applyBorder="1" applyAlignment="1">
      <alignment horizontal="center" vertical="center"/>
    </xf>
    <xf numFmtId="0" fontId="17" fillId="28" borderId="5" xfId="0" applyFont="1" applyFill="1" applyBorder="1" applyAlignment="1">
      <alignment horizontal="center" vertical="center"/>
    </xf>
    <xf numFmtId="0" fontId="52" fillId="32" borderId="2" xfId="0" applyFont="1" applyFill="1" applyBorder="1" applyAlignment="1">
      <alignment horizontal="center" vertical="center"/>
    </xf>
    <xf numFmtId="0" fontId="52" fillId="32" borderId="5" xfId="0" applyFont="1" applyFill="1" applyBorder="1" applyAlignment="1">
      <alignment horizontal="center" vertical="center"/>
    </xf>
    <xf numFmtId="0" fontId="52" fillId="32" borderId="3" xfId="0" applyFont="1" applyFill="1" applyBorder="1" applyAlignment="1">
      <alignment horizontal="center" vertical="center"/>
    </xf>
    <xf numFmtId="0" fontId="17" fillId="17" borderId="3" xfId="0" applyFont="1" applyFill="1" applyBorder="1" applyAlignment="1">
      <alignment horizontal="center" vertical="center"/>
    </xf>
    <xf numFmtId="0" fontId="17" fillId="17" borderId="1" xfId="0" applyFont="1" applyFill="1" applyBorder="1" applyAlignment="1">
      <alignment horizontal="center" vertical="center"/>
    </xf>
    <xf numFmtId="0" fontId="17" fillId="30" borderId="4" xfId="0" applyFont="1" applyFill="1" applyBorder="1" applyAlignment="1">
      <alignment horizontal="center" vertical="center"/>
    </xf>
    <xf numFmtId="0" fontId="17" fillId="30" borderId="8" xfId="0" applyFont="1" applyFill="1" applyBorder="1" applyAlignment="1">
      <alignment horizontal="center" vertical="center"/>
    </xf>
    <xf numFmtId="0" fontId="54" fillId="23" borderId="8" xfId="0" applyFont="1" applyFill="1" applyBorder="1" applyAlignment="1">
      <alignment horizontal="center" vertical="center"/>
    </xf>
    <xf numFmtId="0" fontId="17" fillId="13" borderId="3" xfId="0" applyFont="1" applyFill="1" applyBorder="1" applyAlignment="1">
      <alignment horizontal="center" vertical="center"/>
    </xf>
    <xf numFmtId="0" fontId="17" fillId="35" borderId="3" xfId="0" applyFont="1" applyFill="1" applyBorder="1" applyAlignment="1">
      <alignment horizontal="center" vertical="center"/>
    </xf>
    <xf numFmtId="0" fontId="17" fillId="35" borderId="45" xfId="0" applyFont="1" applyFill="1" applyBorder="1" applyAlignment="1">
      <alignment horizontal="center" vertical="center"/>
    </xf>
    <xf numFmtId="0" fontId="17" fillId="35" borderId="22" xfId="0" applyFont="1" applyFill="1" applyBorder="1" applyAlignment="1">
      <alignment horizontal="center" vertical="center"/>
    </xf>
    <xf numFmtId="0" fontId="17" fillId="35" borderId="1" xfId="0" applyFont="1" applyFill="1" applyBorder="1" applyAlignment="1">
      <alignment horizontal="center" vertical="center"/>
    </xf>
    <xf numFmtId="0" fontId="17" fillId="35" borderId="8" xfId="0" applyFont="1" applyFill="1" applyBorder="1" applyAlignment="1">
      <alignment horizontal="center" vertical="center"/>
    </xf>
    <xf numFmtId="0" fontId="17" fillId="35" borderId="1" xfId="0" applyFont="1" applyFill="1" applyBorder="1" applyAlignment="1">
      <alignment horizontal="center" vertical="center"/>
    </xf>
    <xf numFmtId="164" fontId="17" fillId="36" borderId="3" xfId="0" applyNumberFormat="1" applyFont="1" applyFill="1" applyBorder="1" applyAlignment="1">
      <alignment horizontal="center" vertical="center"/>
    </xf>
    <xf numFmtId="2" fontId="17" fillId="36" borderId="45" xfId="0" applyNumberFormat="1" applyFont="1" applyFill="1" applyBorder="1" applyAlignment="1">
      <alignment horizontal="center" vertical="center"/>
    </xf>
    <xf numFmtId="0" fontId="17" fillId="36" borderId="22" xfId="0" applyFont="1" applyFill="1" applyBorder="1" applyAlignment="1">
      <alignment horizontal="center" vertical="center"/>
    </xf>
    <xf numFmtId="2" fontId="17" fillId="36" borderId="1" xfId="0" applyNumberFormat="1" applyFont="1" applyFill="1" applyBorder="1" applyAlignment="1">
      <alignment horizontal="center" vertical="center"/>
    </xf>
    <xf numFmtId="0" fontId="27" fillId="36" borderId="4" xfId="0" applyFont="1" applyFill="1" applyBorder="1" applyAlignment="1">
      <alignment horizontal="center" vertical="center"/>
    </xf>
    <xf numFmtId="2" fontId="17" fillId="36" borderId="46" xfId="0" applyNumberFormat="1" applyFont="1" applyFill="1" applyBorder="1" applyAlignment="1">
      <alignment horizontal="center" vertical="center"/>
    </xf>
    <xf numFmtId="0" fontId="27" fillId="36" borderId="23" xfId="0" applyFont="1" applyFill="1" applyBorder="1" applyAlignment="1">
      <alignment horizontal="center" vertical="center"/>
    </xf>
    <xf numFmtId="2" fontId="17" fillId="36" borderId="6" xfId="0" applyNumberFormat="1" applyFont="1" applyFill="1" applyBorder="1" applyAlignment="1">
      <alignment horizontal="center" vertical="center"/>
    </xf>
    <xf numFmtId="0" fontId="17" fillId="23" borderId="6" xfId="0" applyFont="1" applyFill="1" applyBorder="1" applyAlignment="1">
      <alignment horizontal="center" vertical="center"/>
    </xf>
    <xf numFmtId="2" fontId="31" fillId="21" borderId="1" xfId="0" applyNumberFormat="1" applyFont="1" applyFill="1" applyBorder="1" applyAlignment="1">
      <alignment horizontal="center" vertical="center"/>
    </xf>
    <xf numFmtId="2" fontId="17" fillId="21" borderId="1" xfId="0" applyNumberFormat="1" applyFont="1" applyFill="1" applyBorder="1" applyAlignment="1">
      <alignment horizontal="center" vertical="center"/>
    </xf>
    <xf numFmtId="164" fontId="17" fillId="36" borderId="1" xfId="0" applyNumberFormat="1" applyFont="1" applyFill="1" applyBorder="1" applyAlignment="1">
      <alignment horizontal="center" vertical="center"/>
    </xf>
    <xf numFmtId="0" fontId="17" fillId="36" borderId="1" xfId="0" applyFont="1" applyFill="1" applyBorder="1" applyAlignment="1">
      <alignment horizontal="center" vertical="center"/>
    </xf>
    <xf numFmtId="0" fontId="17" fillId="36" borderId="6" xfId="0" applyFont="1" applyFill="1" applyBorder="1" applyAlignment="1">
      <alignment horizontal="center" vertical="center"/>
    </xf>
    <xf numFmtId="2" fontId="17" fillId="36" borderId="8" xfId="0" applyNumberFormat="1" applyFont="1" applyFill="1" applyBorder="1" applyAlignment="1">
      <alignment horizontal="center" vertical="center"/>
    </xf>
    <xf numFmtId="0" fontId="27" fillId="36" borderId="1" xfId="0" applyFont="1" applyFill="1" applyBorder="1" applyAlignment="1">
      <alignment horizontal="center" vertical="center"/>
    </xf>
    <xf numFmtId="0" fontId="17" fillId="33" borderId="8" xfId="0" applyFont="1" applyFill="1" applyBorder="1" applyAlignment="1">
      <alignment horizontal="center" vertical="center"/>
    </xf>
    <xf numFmtId="0" fontId="17" fillId="33" borderId="1" xfId="0" applyFont="1" applyFill="1" applyBorder="1" applyAlignment="1">
      <alignment horizontal="center" vertical="center"/>
    </xf>
    <xf numFmtId="0" fontId="2" fillId="33" borderId="5" xfId="0" applyFont="1" applyFill="1" applyBorder="1" applyAlignment="1">
      <alignment horizontal="center" vertical="center"/>
    </xf>
    <xf numFmtId="0" fontId="17"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27" fillId="33" borderId="1" xfId="0" applyFont="1" applyFill="1" applyBorder="1" applyAlignment="1" applyProtection="1">
      <alignment horizontal="center" vertical="center"/>
    </xf>
    <xf numFmtId="0" fontId="17" fillId="33" borderId="1" xfId="0" applyFont="1" applyFill="1" applyBorder="1" applyAlignment="1" applyProtection="1">
      <alignment horizontal="center" vertical="center"/>
    </xf>
    <xf numFmtId="0" fontId="17" fillId="33" borderId="2" xfId="0" applyFont="1" applyFill="1" applyBorder="1" applyAlignment="1">
      <alignment horizontal="center" vertical="center"/>
    </xf>
    <xf numFmtId="0" fontId="17" fillId="33" borderId="5" xfId="0" applyFont="1" applyFill="1" applyBorder="1" applyAlignment="1">
      <alignment horizontal="center" vertical="center"/>
    </xf>
    <xf numFmtId="0" fontId="17" fillId="33" borderId="1" xfId="0" applyFont="1" applyFill="1" applyBorder="1" applyAlignment="1">
      <alignment vertical="center"/>
    </xf>
    <xf numFmtId="0" fontId="17" fillId="33" borderId="5" xfId="0" applyFont="1" applyFill="1" applyBorder="1" applyAlignment="1">
      <alignment horizontal="center" vertical="center" readingOrder="2"/>
    </xf>
    <xf numFmtId="0" fontId="17" fillId="33" borderId="7" xfId="0" applyFont="1" applyFill="1" applyBorder="1" applyAlignment="1">
      <alignment horizontal="center" vertical="center" readingOrder="2"/>
    </xf>
    <xf numFmtId="0" fontId="54" fillId="23" borderId="8" xfId="0" applyFont="1" applyFill="1" applyBorder="1" applyAlignment="1">
      <alignment vertical="center"/>
    </xf>
    <xf numFmtId="0" fontId="17" fillId="23" borderId="9" xfId="0" applyFont="1" applyFill="1" applyBorder="1" applyAlignment="1">
      <alignment vertical="center"/>
    </xf>
    <xf numFmtId="0" fontId="17" fillId="23" borderId="0" xfId="0" applyFont="1" applyFill="1" applyAlignment="1">
      <alignment horizontal="center" vertical="center"/>
    </xf>
    <xf numFmtId="0" fontId="4" fillId="28" borderId="7" xfId="0" applyFont="1" applyFill="1" applyBorder="1" applyAlignment="1">
      <alignment horizontal="center" vertical="center"/>
    </xf>
    <xf numFmtId="0" fontId="1" fillId="28" borderId="3" xfId="0" applyFont="1" applyFill="1" applyBorder="1" applyAlignment="1">
      <alignment horizontal="center" vertical="center"/>
    </xf>
    <xf numFmtId="0" fontId="8" fillId="28" borderId="1" xfId="0" applyFont="1" applyFill="1" applyBorder="1" applyAlignment="1">
      <alignment horizontal="center" vertical="center"/>
    </xf>
    <xf numFmtId="0" fontId="8" fillId="28" borderId="8" xfId="0" applyFont="1" applyFill="1" applyBorder="1" applyAlignment="1" applyProtection="1">
      <alignment horizontal="center" vertical="center"/>
    </xf>
    <xf numFmtId="0" fontId="5" fillId="28" borderId="1" xfId="0" applyFont="1" applyFill="1" applyBorder="1" applyAlignment="1">
      <alignment horizontal="center" vertical="center"/>
    </xf>
    <xf numFmtId="0" fontId="2" fillId="28" borderId="3" xfId="0" applyFont="1" applyFill="1" applyBorder="1" applyAlignment="1">
      <alignment horizontal="center" vertical="center"/>
    </xf>
    <xf numFmtId="0" fontId="8" fillId="28" borderId="1" xfId="0" applyFont="1" applyFill="1" applyBorder="1" applyAlignment="1" applyProtection="1">
      <alignment horizontal="center" vertical="center"/>
    </xf>
    <xf numFmtId="0" fontId="2" fillId="28" borderId="3" xfId="0" applyFont="1" applyFill="1" applyBorder="1" applyAlignment="1">
      <alignment horizontal="center" vertical="center" readingOrder="1"/>
    </xf>
    <xf numFmtId="0" fontId="8" fillId="28" borderId="3" xfId="0" applyFont="1" applyFill="1" applyBorder="1" applyAlignment="1" applyProtection="1">
      <alignment horizontal="center" vertical="center"/>
    </xf>
    <xf numFmtId="0" fontId="27" fillId="10" borderId="1" xfId="0" applyFont="1" applyFill="1" applyBorder="1" applyAlignment="1" applyProtection="1">
      <alignment horizontal="center" vertical="center"/>
    </xf>
    <xf numFmtId="0" fontId="27" fillId="35" borderId="1" xfId="0" applyFont="1" applyFill="1" applyBorder="1" applyAlignment="1" applyProtection="1">
      <alignment horizontal="center" vertical="center"/>
    </xf>
    <xf numFmtId="0" fontId="17" fillId="14" borderId="1" xfId="0" applyFont="1" applyFill="1" applyBorder="1" applyAlignment="1">
      <alignment horizontal="center" vertical="center"/>
    </xf>
    <xf numFmtId="0" fontId="19" fillId="37" borderId="1" xfId="0" applyFont="1" applyFill="1" applyBorder="1" applyAlignment="1">
      <alignment horizontal="center" vertical="center"/>
    </xf>
    <xf numFmtId="0" fontId="29" fillId="0" borderId="0" xfId="0" applyFont="1" applyFill="1" applyAlignment="1">
      <alignment horizontal="center" vertical="center"/>
    </xf>
    <xf numFmtId="0" fontId="27" fillId="38" borderId="0" xfId="0" applyFont="1" applyFill="1"/>
    <xf numFmtId="0" fontId="27" fillId="0" borderId="78" xfId="0" applyFont="1" applyBorder="1"/>
    <xf numFmtId="0" fontId="41" fillId="0" borderId="7" xfId="0" applyFont="1" applyBorder="1" applyAlignment="1">
      <alignment horizontal="center" vertical="center"/>
    </xf>
    <xf numFmtId="0" fontId="8" fillId="0" borderId="50" xfId="0" applyFont="1" applyFill="1" applyBorder="1" applyAlignment="1" applyProtection="1">
      <alignment horizontal="center" vertical="center"/>
    </xf>
    <xf numFmtId="0" fontId="27" fillId="0" borderId="76" xfId="0" applyFont="1" applyBorder="1" applyAlignment="1">
      <alignment horizontal="center" vertical="center"/>
    </xf>
    <xf numFmtId="0" fontId="27" fillId="3" borderId="76" xfId="0" applyFont="1" applyFill="1" applyBorder="1" applyAlignment="1" applyProtection="1">
      <alignment horizontal="center" vertical="center"/>
      <protection locked="0"/>
    </xf>
    <xf numFmtId="0" fontId="38" fillId="0" borderId="76" xfId="0" applyFont="1" applyBorder="1" applyAlignment="1">
      <alignment horizontal="center" vertical="center"/>
    </xf>
    <xf numFmtId="0" fontId="27" fillId="8" borderId="3" xfId="0" applyFont="1" applyFill="1" applyBorder="1" applyAlignment="1">
      <alignment horizontal="center" vertical="center"/>
    </xf>
    <xf numFmtId="2" fontId="27" fillId="8" borderId="1" xfId="0" applyNumberFormat="1" applyFont="1" applyFill="1" applyBorder="1" applyAlignment="1">
      <alignment horizontal="center" vertical="center"/>
    </xf>
    <xf numFmtId="2" fontId="27" fillId="8" borderId="6" xfId="0" applyNumberFormat="1" applyFont="1" applyFill="1" applyBorder="1" applyAlignment="1">
      <alignment horizontal="center" vertical="center"/>
    </xf>
    <xf numFmtId="0" fontId="27" fillId="8" borderId="6" xfId="0" applyFont="1" applyFill="1" applyBorder="1" applyAlignment="1">
      <alignment horizontal="center" vertical="center"/>
    </xf>
    <xf numFmtId="0" fontId="27" fillId="8" borderId="4" xfId="0" applyFont="1" applyFill="1" applyBorder="1" applyAlignment="1">
      <alignment horizontal="center" vertical="center"/>
    </xf>
    <xf numFmtId="0" fontId="27" fillId="21" borderId="76" xfId="0" applyFont="1" applyFill="1" applyBorder="1" applyAlignment="1">
      <alignment horizontal="center" vertical="center"/>
    </xf>
    <xf numFmtId="0" fontId="27" fillId="21" borderId="9" xfId="0" applyFont="1" applyFill="1" applyBorder="1" applyAlignment="1">
      <alignment horizontal="center" vertical="center"/>
    </xf>
    <xf numFmtId="0" fontId="27" fillId="21" borderId="1" xfId="0" applyFont="1" applyFill="1" applyBorder="1" applyAlignment="1">
      <alignment horizontal="center" vertical="center"/>
    </xf>
    <xf numFmtId="0" fontId="27" fillId="21" borderId="6" xfId="0" applyFont="1" applyFill="1" applyBorder="1" applyAlignment="1">
      <alignment horizontal="center" vertical="center"/>
    </xf>
    <xf numFmtId="165" fontId="27" fillId="8" borderId="51" xfId="0" applyNumberFormat="1" applyFont="1" applyFill="1" applyBorder="1" applyAlignment="1">
      <alignment horizontal="center" vertical="center"/>
    </xf>
    <xf numFmtId="165" fontId="27" fillId="8" borderId="22" xfId="0" applyNumberFormat="1" applyFont="1" applyFill="1" applyBorder="1" applyAlignment="1">
      <alignment horizontal="center" vertical="center"/>
    </xf>
    <xf numFmtId="164" fontId="27" fillId="21" borderId="1" xfId="0" applyNumberFormat="1" applyFont="1" applyFill="1" applyBorder="1" applyAlignment="1">
      <alignment horizontal="center" vertical="center"/>
    </xf>
    <xf numFmtId="2" fontId="27" fillId="21" borderId="8" xfId="0" applyNumberFormat="1" applyFont="1" applyFill="1" applyBorder="1" applyAlignment="1">
      <alignment horizontal="center" vertical="center"/>
    </xf>
    <xf numFmtId="2" fontId="27" fillId="5" borderId="1" xfId="0" applyNumberFormat="1" applyFont="1" applyFill="1" applyBorder="1" applyAlignment="1">
      <alignment horizontal="center" vertical="center"/>
    </xf>
    <xf numFmtId="2" fontId="27" fillId="5" borderId="3" xfId="0" applyNumberFormat="1" applyFont="1" applyFill="1" applyBorder="1" applyAlignment="1">
      <alignment horizontal="center" vertical="center"/>
    </xf>
    <xf numFmtId="164" fontId="27" fillId="5" borderId="1" xfId="0" applyNumberFormat="1" applyFont="1" applyFill="1" applyBorder="1" applyAlignment="1">
      <alignment horizontal="center" vertical="center"/>
    </xf>
    <xf numFmtId="0" fontId="27" fillId="5" borderId="3" xfId="0" applyFont="1" applyFill="1" applyBorder="1" applyAlignment="1">
      <alignment horizontal="center" vertical="center"/>
    </xf>
    <xf numFmtId="2" fontId="27" fillId="5" borderId="8" xfId="0" applyNumberFormat="1" applyFont="1" applyFill="1" applyBorder="1" applyAlignment="1">
      <alignment horizontal="center" vertical="center"/>
    </xf>
    <xf numFmtId="2" fontId="27" fillId="5" borderId="6" xfId="0" applyNumberFormat="1" applyFont="1" applyFill="1" applyBorder="1" applyAlignment="1">
      <alignment horizontal="center" vertical="center"/>
    </xf>
    <xf numFmtId="1" fontId="27" fillId="5" borderId="1" xfId="0" applyNumberFormat="1" applyFont="1" applyFill="1" applyBorder="1" applyAlignment="1">
      <alignment horizontal="center" vertical="center"/>
    </xf>
    <xf numFmtId="0" fontId="27" fillId="5" borderId="1" xfId="0" applyFont="1" applyFill="1" applyBorder="1" applyAlignment="1">
      <alignment horizontal="center" vertical="center"/>
    </xf>
    <xf numFmtId="0" fontId="27" fillId="0" borderId="79" xfId="0" applyFont="1" applyBorder="1" applyAlignment="1">
      <alignment horizontal="center" vertical="center"/>
    </xf>
    <xf numFmtId="0" fontId="27" fillId="35" borderId="22" xfId="0" applyFont="1" applyFill="1" applyBorder="1" applyAlignment="1" applyProtection="1">
      <alignment horizontal="center" vertical="center"/>
    </xf>
    <xf numFmtId="0" fontId="27" fillId="35" borderId="59" xfId="0" applyFont="1" applyFill="1" applyBorder="1" applyAlignment="1" applyProtection="1">
      <alignment horizontal="center" vertical="center"/>
    </xf>
    <xf numFmtId="2" fontId="27" fillId="35" borderId="3" xfId="0" applyNumberFormat="1" applyFont="1" applyFill="1" applyBorder="1" applyAlignment="1">
      <alignment horizontal="center" vertical="center"/>
    </xf>
    <xf numFmtId="2" fontId="27" fillId="35" borderId="4" xfId="0" applyNumberFormat="1" applyFont="1" applyFill="1" applyBorder="1" applyAlignment="1">
      <alignment horizontal="center" vertical="center"/>
    </xf>
    <xf numFmtId="0" fontId="22" fillId="35" borderId="3" xfId="0" applyFont="1" applyFill="1" applyBorder="1" applyAlignment="1">
      <alignment horizontal="center" vertical="center"/>
    </xf>
    <xf numFmtId="2" fontId="27" fillId="35" borderId="8" xfId="0" applyNumberFormat="1" applyFont="1" applyFill="1" applyBorder="1" applyAlignment="1">
      <alignment horizontal="center" vertical="center"/>
    </xf>
    <xf numFmtId="0" fontId="27" fillId="35" borderId="22" xfId="0" applyFont="1" applyFill="1" applyBorder="1" applyAlignment="1">
      <alignment horizontal="center" vertical="center"/>
    </xf>
    <xf numFmtId="0" fontId="27" fillId="35" borderId="79" xfId="0" applyFont="1" applyFill="1" applyBorder="1" applyAlignment="1">
      <alignment horizontal="center" vertical="center"/>
    </xf>
    <xf numFmtId="0" fontId="27" fillId="35" borderId="8" xfId="0" applyFont="1" applyFill="1" applyBorder="1" applyAlignment="1">
      <alignment horizontal="center" vertical="center"/>
    </xf>
    <xf numFmtId="0" fontId="27" fillId="21" borderId="22" xfId="0" applyFont="1" applyFill="1" applyBorder="1" applyAlignment="1">
      <alignment horizontal="center" vertical="center"/>
    </xf>
    <xf numFmtId="0" fontId="27" fillId="21" borderId="59" xfId="0" applyFont="1" applyFill="1" applyBorder="1" applyAlignment="1">
      <alignment horizontal="center" vertical="center"/>
    </xf>
    <xf numFmtId="0" fontId="27" fillId="21" borderId="8" xfId="0" applyFont="1" applyFill="1" applyBorder="1" applyAlignment="1">
      <alignment horizontal="center" vertical="center"/>
    </xf>
    <xf numFmtId="0" fontId="27" fillId="35" borderId="1" xfId="0" applyFont="1" applyFill="1" applyBorder="1" applyAlignment="1">
      <alignment horizontal="center" vertical="center"/>
    </xf>
    <xf numFmtId="0" fontId="27" fillId="35" borderId="8" xfId="0" applyFont="1" applyFill="1" applyBorder="1" applyAlignment="1" applyProtection="1">
      <alignment horizontal="center" vertical="center"/>
    </xf>
    <xf numFmtId="0" fontId="27" fillId="0" borderId="67" xfId="0" applyFont="1" applyBorder="1" applyAlignment="1">
      <alignment horizontal="center" vertical="center"/>
    </xf>
    <xf numFmtId="0" fontId="27" fillId="35" borderId="67" xfId="0" applyFont="1" applyFill="1" applyBorder="1" applyAlignment="1">
      <alignment horizontal="center" vertical="center"/>
    </xf>
    <xf numFmtId="0" fontId="40" fillId="0" borderId="67" xfId="0" applyFont="1" applyBorder="1"/>
    <xf numFmtId="2" fontId="17" fillId="0" borderId="0" xfId="0" applyNumberFormat="1" applyFont="1" applyBorder="1" applyAlignment="1">
      <alignment horizontal="center" vertical="center"/>
    </xf>
    <xf numFmtId="0" fontId="27" fillId="28" borderId="1" xfId="0" applyFont="1" applyFill="1" applyBorder="1" applyAlignment="1" applyProtection="1">
      <alignment horizontal="center" vertical="center"/>
    </xf>
    <xf numFmtId="0" fontId="27" fillId="28" borderId="8" xfId="0" applyFont="1" applyFill="1" applyBorder="1" applyAlignment="1" applyProtection="1">
      <alignment horizontal="center" vertical="center"/>
    </xf>
    <xf numFmtId="0" fontId="2" fillId="0" borderId="2" xfId="0" applyFont="1" applyBorder="1" applyAlignment="1">
      <alignment horizontal="center" vertical="center" readingOrder="1"/>
    </xf>
    <xf numFmtId="2" fontId="13" fillId="0" borderId="3" xfId="0" applyNumberFormat="1" applyFont="1" applyBorder="1" applyAlignment="1">
      <alignment horizontal="center" vertical="center"/>
    </xf>
    <xf numFmtId="2" fontId="2" fillId="0" borderId="3" xfId="0" applyNumberFormat="1" applyFont="1" applyBorder="1" applyAlignment="1">
      <alignment horizontal="left" vertical="center"/>
    </xf>
    <xf numFmtId="0" fontId="2" fillId="0" borderId="5" xfId="0" applyFont="1" applyBorder="1" applyAlignment="1">
      <alignment horizontal="center" vertical="center" readingOrder="1"/>
    </xf>
    <xf numFmtId="0" fontId="17" fillId="0" borderId="6" xfId="0" applyFont="1" applyBorder="1" applyAlignment="1">
      <alignment horizontal="center" vertical="center"/>
    </xf>
    <xf numFmtId="0" fontId="22" fillId="14" borderId="1" xfId="0" applyFont="1" applyFill="1" applyBorder="1" applyAlignment="1">
      <alignment horizontal="center" vertical="center"/>
    </xf>
    <xf numFmtId="2" fontId="17" fillId="14" borderId="1" xfId="0" applyNumberFormat="1" applyFont="1" applyFill="1" applyBorder="1" applyAlignment="1">
      <alignment horizontal="center" vertical="center"/>
    </xf>
    <xf numFmtId="2" fontId="17" fillId="14" borderId="6" xfId="0" applyNumberFormat="1" applyFont="1" applyFill="1" applyBorder="1" applyAlignment="1">
      <alignment horizontal="center" vertical="center"/>
    </xf>
    <xf numFmtId="2" fontId="14" fillId="14"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55" fillId="0" borderId="0" xfId="0" applyFont="1" applyFill="1" applyBorder="1" applyAlignment="1">
      <alignment vertical="center" wrapText="1"/>
    </xf>
    <xf numFmtId="0" fontId="57" fillId="0" borderId="0" xfId="1" applyFill="1" applyBorder="1" applyAlignment="1">
      <alignment vertical="center"/>
    </xf>
    <xf numFmtId="0" fontId="56" fillId="17" borderId="0" xfId="0" applyFont="1" applyFill="1" applyBorder="1" applyAlignment="1">
      <alignment vertical="center"/>
    </xf>
    <xf numFmtId="0" fontId="56" fillId="0" borderId="0" xfId="0" applyFont="1" applyFill="1" applyBorder="1" applyAlignment="1">
      <alignment vertical="center"/>
    </xf>
    <xf numFmtId="0" fontId="27" fillId="0" borderId="0" xfId="0" applyFont="1" applyFill="1" applyBorder="1"/>
    <xf numFmtId="0" fontId="58" fillId="0" borderId="0" xfId="0" applyFont="1" applyFill="1" applyBorder="1" applyAlignment="1">
      <alignment vertical="center"/>
    </xf>
    <xf numFmtId="0" fontId="58" fillId="5" borderId="0" xfId="0" applyFont="1" applyFill="1" applyBorder="1" applyAlignment="1">
      <alignment vertical="center"/>
    </xf>
    <xf numFmtId="0" fontId="9" fillId="0" borderId="0" xfId="0" applyFont="1" applyFill="1" applyBorder="1" applyAlignment="1">
      <alignment vertical="center"/>
    </xf>
    <xf numFmtId="0" fontId="27" fillId="0" borderId="0" xfId="0" applyFont="1" applyBorder="1"/>
    <xf numFmtId="0" fontId="0" fillId="0" borderId="0" xfId="0" applyBorder="1"/>
    <xf numFmtId="0" fontId="17" fillId="0" borderId="5" xfId="0" applyFont="1" applyFill="1" applyBorder="1" applyAlignment="1">
      <alignment horizontal="center" vertical="center"/>
    </xf>
    <xf numFmtId="2" fontId="17" fillId="0" borderId="1" xfId="0" applyNumberFormat="1" applyFont="1" applyFill="1" applyBorder="1" applyAlignment="1">
      <alignment horizontal="center" vertical="center"/>
    </xf>
    <xf numFmtId="0" fontId="27" fillId="0" borderId="0" xfId="0" applyFont="1" applyAlignment="1">
      <alignment horizontal="left" vertical="center"/>
    </xf>
    <xf numFmtId="0" fontId="55" fillId="5" borderId="0" xfId="0" applyFont="1" applyFill="1" applyBorder="1" applyAlignment="1">
      <alignment vertical="center" wrapText="1"/>
    </xf>
    <xf numFmtId="0" fontId="57" fillId="13" borderId="0" xfId="1" applyFill="1" applyBorder="1" applyAlignment="1">
      <alignment horizontal="center" vertical="center"/>
    </xf>
    <xf numFmtId="0" fontId="48" fillId="3" borderId="0" xfId="0" applyFont="1" applyFill="1" applyBorder="1" applyAlignment="1">
      <alignment horizontal="center" vertical="center"/>
    </xf>
    <xf numFmtId="0" fontId="56" fillId="17" borderId="0" xfId="0" applyFont="1" applyFill="1" applyBorder="1" applyAlignment="1">
      <alignment horizontal="center" vertical="center"/>
    </xf>
    <xf numFmtId="0" fontId="20" fillId="5" borderId="37" xfId="0" applyFont="1" applyFill="1" applyBorder="1" applyAlignment="1" applyProtection="1">
      <alignment horizontal="center" vertical="center" readingOrder="2"/>
    </xf>
    <xf numFmtId="0" fontId="20" fillId="5" borderId="0" xfId="0" applyFont="1" applyFill="1" applyBorder="1" applyAlignment="1" applyProtection="1">
      <alignment horizontal="center" vertical="center"/>
    </xf>
    <xf numFmtId="0" fontId="20" fillId="5" borderId="0" xfId="0" applyFont="1" applyFill="1" applyBorder="1" applyAlignment="1" applyProtection="1">
      <alignment horizontal="center" vertical="center" readingOrder="2"/>
    </xf>
    <xf numFmtId="0" fontId="17" fillId="0" borderId="1" xfId="0" applyFont="1" applyBorder="1" applyAlignment="1">
      <alignment horizontal="center" vertical="center"/>
    </xf>
    <xf numFmtId="0" fontId="27" fillId="3" borderId="6" xfId="0" applyFont="1" applyFill="1" applyBorder="1" applyAlignment="1" applyProtection="1">
      <alignment horizontal="center" vertical="center"/>
      <protection locked="0"/>
    </xf>
    <xf numFmtId="0" fontId="22" fillId="0" borderId="7" xfId="0" applyFont="1" applyBorder="1" applyAlignment="1">
      <alignment horizontal="center" vertical="center" readingOrder="2"/>
    </xf>
    <xf numFmtId="0" fontId="22" fillId="0" borderId="8" xfId="0" applyFont="1" applyBorder="1" applyAlignment="1">
      <alignment horizontal="center" vertical="center" readingOrder="2"/>
    </xf>
    <xf numFmtId="0" fontId="43" fillId="40" borderId="1" xfId="0" applyFont="1" applyFill="1" applyBorder="1" applyAlignment="1">
      <alignment horizontal="right" vertical="center"/>
    </xf>
    <xf numFmtId="0" fontId="43" fillId="40" borderId="1" xfId="0" applyFont="1" applyFill="1" applyBorder="1" applyAlignment="1">
      <alignment horizontal="center" vertical="center" wrapText="1"/>
    </xf>
    <xf numFmtId="0" fontId="2" fillId="0" borderId="1" xfId="0" applyFont="1" applyFill="1" applyBorder="1" applyAlignment="1">
      <alignment horizontal="center" vertical="center" readingOrder="1"/>
    </xf>
    <xf numFmtId="0" fontId="43" fillId="40" borderId="5" xfId="0" applyFont="1" applyFill="1" applyBorder="1" applyAlignment="1">
      <alignment horizontal="right" vertical="center" wrapText="1"/>
    </xf>
    <xf numFmtId="0" fontId="43" fillId="40" borderId="1" xfId="0" applyFont="1" applyFill="1" applyBorder="1" applyAlignment="1">
      <alignment horizontal="right" vertical="center" wrapText="1"/>
    </xf>
    <xf numFmtId="0" fontId="27" fillId="3" borderId="1" xfId="0" applyFont="1" applyFill="1" applyBorder="1" applyAlignment="1" applyProtection="1">
      <alignment horizontal="center" vertical="center"/>
      <protection locked="0"/>
    </xf>
    <xf numFmtId="0" fontId="22" fillId="0" borderId="5" xfId="0" applyFont="1" applyBorder="1" applyAlignment="1">
      <alignment horizontal="center" vertical="center" readingOrder="1"/>
    </xf>
    <xf numFmtId="0" fontId="22" fillId="0" borderId="1" xfId="0" applyFont="1" applyBorder="1" applyAlignment="1">
      <alignment horizontal="center" vertical="center" readingOrder="1"/>
    </xf>
    <xf numFmtId="0" fontId="23" fillId="17" borderId="18" xfId="0" applyFont="1" applyFill="1" applyBorder="1" applyAlignment="1">
      <alignment horizontal="center" vertical="center"/>
    </xf>
    <xf numFmtId="0" fontId="23" fillId="17" borderId="39" xfId="0" applyFont="1" applyFill="1" applyBorder="1" applyAlignment="1">
      <alignment horizontal="center" vertical="center"/>
    </xf>
    <xf numFmtId="0" fontId="23" fillId="17" borderId="17" xfId="0" applyFont="1" applyFill="1" applyBorder="1" applyAlignment="1">
      <alignment horizontal="center" vertical="center"/>
    </xf>
    <xf numFmtId="0" fontId="22" fillId="17" borderId="41" xfId="0" applyFont="1" applyFill="1" applyBorder="1" applyAlignment="1">
      <alignment horizontal="center" vertical="center"/>
    </xf>
    <xf numFmtId="0" fontId="22" fillId="17" borderId="42" xfId="0" applyFont="1" applyFill="1" applyBorder="1" applyAlignment="1">
      <alignment horizontal="center" vertical="center"/>
    </xf>
    <xf numFmtId="0" fontId="22" fillId="17" borderId="43" xfId="0" applyFont="1" applyFill="1" applyBorder="1" applyAlignment="1">
      <alignment horizontal="center" vertical="center"/>
    </xf>
    <xf numFmtId="0" fontId="22" fillId="18" borderId="14" xfId="0" applyFont="1" applyFill="1" applyBorder="1" applyAlignment="1">
      <alignment horizontal="center" vertical="center"/>
    </xf>
    <xf numFmtId="0" fontId="22" fillId="18" borderId="44" xfId="0" applyFont="1" applyFill="1" applyBorder="1" applyAlignment="1">
      <alignment horizontal="center" vertical="center"/>
    </xf>
    <xf numFmtId="0" fontId="22" fillId="18" borderId="15" xfId="0" applyFont="1" applyFill="1" applyBorder="1" applyAlignment="1">
      <alignment horizontal="center" vertical="center"/>
    </xf>
    <xf numFmtId="2" fontId="26" fillId="2" borderId="7" xfId="0" applyNumberFormat="1" applyFont="1" applyFill="1" applyBorder="1" applyAlignment="1">
      <alignment horizontal="center" vertical="center" readingOrder="1"/>
    </xf>
    <xf numFmtId="2" fontId="26" fillId="2" borderId="8" xfId="0" applyNumberFormat="1" applyFont="1" applyFill="1" applyBorder="1" applyAlignment="1">
      <alignment horizontal="center" vertical="center" readingOrder="1"/>
    </xf>
    <xf numFmtId="0" fontId="22" fillId="21" borderId="1" xfId="0" applyFont="1" applyFill="1" applyBorder="1" applyAlignment="1">
      <alignment horizontal="center" vertical="center"/>
    </xf>
    <xf numFmtId="0" fontId="27" fillId="11" borderId="1" xfId="0" applyFont="1" applyFill="1" applyBorder="1" applyAlignment="1" applyProtection="1">
      <alignment horizontal="center" vertical="center"/>
    </xf>
    <xf numFmtId="0" fontId="22" fillId="0" borderId="8" xfId="0" applyFont="1" applyBorder="1" applyAlignment="1">
      <alignment horizontal="center" vertical="center"/>
    </xf>
    <xf numFmtId="0" fontId="23" fillId="21" borderId="1" xfId="0" applyFont="1" applyFill="1" applyBorder="1" applyAlignment="1" applyProtection="1">
      <alignment horizontal="center" vertical="center"/>
    </xf>
    <xf numFmtId="0" fontId="27" fillId="34" borderId="1" xfId="0" applyFont="1" applyFill="1" applyBorder="1" applyAlignment="1" applyProtection="1">
      <alignment horizontal="center" vertical="center"/>
    </xf>
    <xf numFmtId="0" fontId="17" fillId="34" borderId="1" xfId="0" applyFont="1" applyFill="1" applyBorder="1" applyAlignment="1">
      <alignment horizontal="center" vertical="center"/>
    </xf>
    <xf numFmtId="0" fontId="17" fillId="11" borderId="1" xfId="0" applyFont="1" applyFill="1" applyBorder="1" applyAlignment="1">
      <alignment horizontal="center" vertical="center"/>
    </xf>
    <xf numFmtId="0" fontId="17" fillId="33" borderId="8" xfId="0" applyFont="1" applyFill="1" applyBorder="1" applyAlignment="1">
      <alignment horizontal="center" vertical="center"/>
    </xf>
    <xf numFmtId="0" fontId="17" fillId="33" borderId="7" xfId="0" applyFont="1" applyFill="1" applyBorder="1" applyAlignment="1">
      <alignment horizontal="center" vertical="center"/>
    </xf>
    <xf numFmtId="0" fontId="2" fillId="11" borderId="30" xfId="0" applyFont="1" applyFill="1" applyBorder="1" applyAlignment="1" applyProtection="1">
      <alignment horizontal="center" vertical="center"/>
    </xf>
    <xf numFmtId="0" fontId="2" fillId="11" borderId="8" xfId="0" applyFont="1" applyFill="1" applyBorder="1" applyAlignment="1" applyProtection="1">
      <alignment horizontal="center" vertical="center"/>
    </xf>
    <xf numFmtId="0" fontId="22" fillId="11" borderId="8" xfId="0" applyFont="1" applyFill="1" applyBorder="1" applyAlignment="1" applyProtection="1">
      <alignment horizontal="center" vertical="center"/>
    </xf>
    <xf numFmtId="0" fontId="22" fillId="11" borderId="9" xfId="0" applyFont="1" applyFill="1" applyBorder="1" applyAlignment="1" applyProtection="1">
      <alignment horizontal="center" vertical="center"/>
    </xf>
    <xf numFmtId="0" fontId="2" fillId="10" borderId="24" xfId="0" applyFont="1" applyFill="1" applyBorder="1" applyAlignment="1" applyProtection="1">
      <alignment horizontal="center" vertical="center"/>
    </xf>
    <xf numFmtId="0" fontId="2" fillId="10" borderId="25" xfId="0" applyFont="1" applyFill="1" applyBorder="1" applyAlignment="1" applyProtection="1">
      <alignment horizontal="center" vertical="center"/>
    </xf>
    <xf numFmtId="0" fontId="2" fillId="10" borderId="27" xfId="0" applyFont="1" applyFill="1" applyBorder="1" applyAlignment="1" applyProtection="1">
      <alignment horizontal="center" vertical="center"/>
    </xf>
    <xf numFmtId="0" fontId="2" fillId="10" borderId="13" xfId="0" applyFont="1" applyFill="1" applyBorder="1" applyAlignment="1" applyProtection="1">
      <alignment horizontal="center" vertical="center"/>
    </xf>
    <xf numFmtId="0" fontId="2" fillId="10" borderId="28" xfId="0" applyFont="1" applyFill="1" applyBorder="1" applyAlignment="1" applyProtection="1">
      <alignment horizontal="center" vertical="center"/>
    </xf>
    <xf numFmtId="0" fontId="2" fillId="10" borderId="29" xfId="0" applyFont="1" applyFill="1" applyBorder="1" applyAlignment="1" applyProtection="1">
      <alignment horizontal="center" vertical="center"/>
    </xf>
    <xf numFmtId="0" fontId="1" fillId="10" borderId="31" xfId="0" applyFont="1" applyFill="1" applyBorder="1" applyAlignment="1" applyProtection="1">
      <alignment horizontal="center" vertical="center"/>
    </xf>
    <xf numFmtId="0" fontId="1" fillId="10" borderId="32" xfId="0" applyFont="1" applyFill="1" applyBorder="1" applyAlignment="1" applyProtection="1">
      <alignment horizontal="center" vertical="center"/>
    </xf>
    <xf numFmtId="0" fontId="25" fillId="10" borderId="19" xfId="0" applyFont="1" applyFill="1" applyBorder="1" applyAlignment="1" applyProtection="1">
      <alignment horizontal="right" vertical="center"/>
    </xf>
    <xf numFmtId="0" fontId="25" fillId="10" borderId="20" xfId="0" applyFont="1" applyFill="1" applyBorder="1" applyAlignment="1" applyProtection="1">
      <alignment horizontal="right" vertical="center"/>
    </xf>
    <xf numFmtId="0" fontId="2" fillId="11" borderId="21" xfId="0" applyFont="1" applyFill="1" applyBorder="1" applyAlignment="1" applyProtection="1">
      <alignment horizontal="center" vertical="center"/>
    </xf>
    <xf numFmtId="0" fontId="2" fillId="11" borderId="22" xfId="0" applyFont="1" applyFill="1" applyBorder="1" applyAlignment="1" applyProtection="1">
      <alignment horizontal="center" vertical="center"/>
    </xf>
    <xf numFmtId="0" fontId="2" fillId="31" borderId="1" xfId="0" applyFont="1" applyFill="1" applyBorder="1" applyAlignment="1">
      <alignment horizontal="center" vertical="center" wrapText="1"/>
    </xf>
    <xf numFmtId="0" fontId="2" fillId="31" borderId="6" xfId="0" applyFont="1" applyFill="1" applyBorder="1" applyAlignment="1">
      <alignment horizontal="center" vertical="center" wrapText="1"/>
    </xf>
    <xf numFmtId="0" fontId="17" fillId="4" borderId="22" xfId="0" applyFont="1" applyFill="1" applyBorder="1" applyAlignment="1">
      <alignment horizontal="center" vertical="center"/>
    </xf>
    <xf numFmtId="0" fontId="2" fillId="7" borderId="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 fillId="5" borderId="3" xfId="0" applyFont="1" applyFill="1" applyBorder="1" applyAlignment="1">
      <alignment horizontal="center" vertical="center" textRotation="90"/>
    </xf>
    <xf numFmtId="0" fontId="22" fillId="5" borderId="1" xfId="0" applyFont="1" applyFill="1" applyBorder="1" applyAlignment="1">
      <alignment horizontal="center" vertical="center" textRotation="90"/>
    </xf>
    <xf numFmtId="0" fontId="22" fillId="11" borderId="22" xfId="0" applyFont="1" applyFill="1" applyBorder="1" applyAlignment="1" applyProtection="1">
      <alignment horizontal="center" vertical="center"/>
    </xf>
    <xf numFmtId="0" fontId="22" fillId="11" borderId="23" xfId="0" applyFont="1" applyFill="1" applyBorder="1" applyAlignment="1" applyProtection="1">
      <alignment horizontal="center" vertical="center"/>
    </xf>
    <xf numFmtId="0" fontId="22" fillId="4" borderId="1" xfId="0" applyFont="1" applyFill="1" applyBorder="1" applyAlignment="1">
      <alignment horizontal="center" vertical="center"/>
    </xf>
    <xf numFmtId="0" fontId="22" fillId="4" borderId="6" xfId="0" applyFont="1" applyFill="1" applyBorder="1" applyAlignment="1">
      <alignment horizontal="center" vertical="center"/>
    </xf>
    <xf numFmtId="2" fontId="17" fillId="2" borderId="1" xfId="0" applyNumberFormat="1" applyFont="1" applyFill="1" applyBorder="1" applyAlignment="1">
      <alignment horizontal="center" vertical="center"/>
    </xf>
    <xf numFmtId="0" fontId="17" fillId="23" borderId="5" xfId="0" applyFont="1" applyFill="1" applyBorder="1" applyAlignment="1">
      <alignment horizontal="center" vertical="center"/>
    </xf>
    <xf numFmtId="0" fontId="17" fillId="23" borderId="1" xfId="0" applyFont="1" applyFill="1" applyBorder="1" applyAlignment="1">
      <alignment horizontal="center" vertical="center"/>
    </xf>
    <xf numFmtId="0" fontId="17" fillId="23"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17" fillId="4" borderId="3" xfId="0" applyFont="1" applyFill="1" applyBorder="1" applyAlignment="1">
      <alignment horizontal="center" vertical="center"/>
    </xf>
    <xf numFmtId="0" fontId="17" fillId="6" borderId="7" xfId="0" applyFont="1" applyFill="1" applyBorder="1" applyAlignment="1">
      <alignment horizontal="center" vertical="center" readingOrder="1"/>
    </xf>
    <xf numFmtId="0" fontId="17" fillId="6" borderId="8" xfId="0" applyFont="1" applyFill="1" applyBorder="1" applyAlignment="1">
      <alignment horizontal="center" vertical="center" readingOrder="1"/>
    </xf>
    <xf numFmtId="0" fontId="2" fillId="11" borderId="26" xfId="0" applyFont="1" applyFill="1" applyBorder="1" applyAlignment="1" applyProtection="1">
      <alignment horizontal="center" vertical="center"/>
    </xf>
    <xf numFmtId="0" fontId="2" fillId="11" borderId="1" xfId="0" applyFont="1" applyFill="1" applyBorder="1" applyAlignment="1" applyProtection="1">
      <alignment horizontal="center" vertical="center"/>
    </xf>
    <xf numFmtId="0" fontId="22" fillId="11" borderId="1" xfId="0" applyFont="1" applyFill="1" applyBorder="1" applyAlignment="1" applyProtection="1">
      <alignment horizontal="center" vertical="center"/>
    </xf>
    <xf numFmtId="0" fontId="22" fillId="11" borderId="6" xfId="0" applyFont="1" applyFill="1" applyBorder="1" applyAlignment="1" applyProtection="1">
      <alignment horizontal="center" vertical="center"/>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 fillId="9" borderId="14" xfId="0" applyFont="1" applyFill="1" applyBorder="1" applyAlignment="1" applyProtection="1">
      <alignment horizontal="center" vertical="center"/>
    </xf>
    <xf numFmtId="0" fontId="2" fillId="9" borderId="15" xfId="0" applyFont="1" applyFill="1" applyBorder="1" applyAlignment="1" applyProtection="1">
      <alignment horizontal="center" vertical="center"/>
    </xf>
    <xf numFmtId="0" fontId="2" fillId="9" borderId="16" xfId="0" applyFont="1" applyFill="1" applyBorder="1" applyAlignment="1" applyProtection="1">
      <alignment horizontal="center" vertical="center"/>
    </xf>
    <xf numFmtId="0" fontId="2" fillId="9" borderId="17" xfId="0" applyFont="1" applyFill="1" applyBorder="1" applyAlignment="1" applyProtection="1">
      <alignment horizontal="center" vertical="center"/>
    </xf>
    <xf numFmtId="0" fontId="2" fillId="9" borderId="18" xfId="0" applyFont="1" applyFill="1" applyBorder="1" applyAlignment="1" applyProtection="1">
      <alignment horizontal="center" vertical="center"/>
    </xf>
    <xf numFmtId="0" fontId="22" fillId="4" borderId="10"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20" xfId="0" applyFont="1" applyFill="1" applyBorder="1" applyAlignment="1">
      <alignment horizontal="center" vertical="center"/>
    </xf>
    <xf numFmtId="0" fontId="2" fillId="7" borderId="5" xfId="0" applyFont="1" applyFill="1" applyBorder="1" applyAlignment="1">
      <alignment horizontal="center" vertical="center" wrapText="1"/>
    </xf>
    <xf numFmtId="0" fontId="20" fillId="5" borderId="0" xfId="0" applyFont="1" applyFill="1" applyAlignment="1">
      <alignment horizontal="center" vertical="center"/>
    </xf>
    <xf numFmtId="0" fontId="22" fillId="18" borderId="41" xfId="0" applyFont="1" applyFill="1" applyBorder="1" applyAlignment="1">
      <alignment horizontal="center" vertical="center"/>
    </xf>
    <xf numFmtId="0" fontId="22" fillId="18" borderId="42" xfId="0" applyFont="1" applyFill="1" applyBorder="1" applyAlignment="1">
      <alignment horizontal="center" vertical="center"/>
    </xf>
    <xf numFmtId="0" fontId="22" fillId="18" borderId="43" xfId="0" applyFont="1" applyFill="1" applyBorder="1" applyAlignment="1">
      <alignment horizontal="center" vertical="center"/>
    </xf>
    <xf numFmtId="0" fontId="2" fillId="15" borderId="2" xfId="0" applyFont="1" applyFill="1" applyBorder="1" applyAlignment="1">
      <alignment horizontal="right" vertical="center"/>
    </xf>
    <xf numFmtId="0" fontId="2" fillId="15" borderId="3" xfId="0" applyFont="1" applyFill="1" applyBorder="1" applyAlignment="1">
      <alignment horizontal="right" vertical="center"/>
    </xf>
    <xf numFmtId="0" fontId="17" fillId="33" borderId="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45"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1" xfId="0" applyFont="1" applyFill="1" applyBorder="1" applyAlignment="1">
      <alignment horizontal="center" vertical="center"/>
    </xf>
    <xf numFmtId="0" fontId="27" fillId="14" borderId="1" xfId="0" applyFont="1" applyFill="1" applyBorder="1" applyAlignment="1" applyProtection="1">
      <alignment horizontal="center" vertical="center"/>
    </xf>
    <xf numFmtId="0" fontId="2" fillId="12" borderId="41" xfId="0" applyFont="1" applyFill="1" applyBorder="1" applyAlignment="1">
      <alignment horizontal="center" vertical="center"/>
    </xf>
    <xf numFmtId="0" fontId="2" fillId="12" borderId="42" xfId="0" applyFont="1" applyFill="1" applyBorder="1" applyAlignment="1">
      <alignment horizontal="center" vertical="center"/>
    </xf>
    <xf numFmtId="0" fontId="2" fillId="12" borderId="43" xfId="0" applyFont="1" applyFill="1" applyBorder="1" applyAlignment="1">
      <alignment horizontal="center" vertical="center"/>
    </xf>
    <xf numFmtId="2" fontId="2" fillId="16" borderId="3" xfId="0" applyNumberFormat="1" applyFont="1" applyFill="1" applyBorder="1" applyAlignment="1">
      <alignment horizontal="center" vertical="center"/>
    </xf>
    <xf numFmtId="0" fontId="2" fillId="14" borderId="3" xfId="0" applyFont="1" applyFill="1" applyBorder="1" applyAlignment="1">
      <alignment horizontal="center" vertical="center"/>
    </xf>
    <xf numFmtId="0" fontId="2" fillId="14" borderId="4" xfId="0" applyFont="1" applyFill="1" applyBorder="1" applyAlignment="1">
      <alignment horizontal="center" vertical="center"/>
    </xf>
    <xf numFmtId="0" fontId="51" fillId="12" borderId="41" xfId="0" applyFont="1" applyFill="1" applyBorder="1" applyAlignment="1">
      <alignment horizontal="center" vertical="center"/>
    </xf>
    <xf numFmtId="0" fontId="51" fillId="12" borderId="42" xfId="0" applyFont="1" applyFill="1" applyBorder="1" applyAlignment="1">
      <alignment horizontal="center" vertical="center"/>
    </xf>
    <xf numFmtId="0" fontId="51" fillId="12" borderId="43" xfId="0" applyFont="1" applyFill="1" applyBorder="1" applyAlignment="1">
      <alignment horizontal="center" vertical="center"/>
    </xf>
    <xf numFmtId="0" fontId="2" fillId="33" borderId="8" xfId="0" applyFont="1" applyFill="1" applyBorder="1" applyAlignment="1">
      <alignment horizontal="center" vertical="center"/>
    </xf>
    <xf numFmtId="0" fontId="26" fillId="22" borderId="41" xfId="0" applyFont="1" applyFill="1" applyBorder="1" applyAlignment="1">
      <alignment horizontal="center" vertical="center"/>
    </xf>
    <xf numFmtId="0" fontId="26" fillId="22" borderId="42" xfId="0" applyFont="1" applyFill="1" applyBorder="1" applyAlignment="1">
      <alignment horizontal="center" vertical="center"/>
    </xf>
    <xf numFmtId="0" fontId="26" fillId="22" borderId="43" xfId="0" applyFont="1" applyFill="1" applyBorder="1" applyAlignment="1">
      <alignment horizontal="center" vertical="center"/>
    </xf>
    <xf numFmtId="0" fontId="19" fillId="16" borderId="14" xfId="0" applyFont="1" applyFill="1" applyBorder="1" applyAlignment="1">
      <alignment horizontal="center" vertical="center"/>
    </xf>
    <xf numFmtId="0" fontId="19" fillId="16" borderId="44" xfId="0" applyFont="1" applyFill="1" applyBorder="1" applyAlignment="1">
      <alignment horizontal="center" vertical="center"/>
    </xf>
    <xf numFmtId="0" fontId="19" fillId="16" borderId="15" xfId="0" applyFont="1" applyFill="1" applyBorder="1" applyAlignment="1">
      <alignment horizontal="center" vertical="center"/>
    </xf>
    <xf numFmtId="0" fontId="17" fillId="29" borderId="49" xfId="0" applyFont="1" applyFill="1" applyBorder="1" applyAlignment="1">
      <alignment horizontal="center" vertical="center"/>
    </xf>
    <xf numFmtId="0" fontId="17" fillId="29" borderId="65" xfId="0" applyFont="1" applyFill="1" applyBorder="1" applyAlignment="1">
      <alignment horizontal="center" vertical="center"/>
    </xf>
    <xf numFmtId="0" fontId="17" fillId="29" borderId="68" xfId="0" applyFont="1" applyFill="1" applyBorder="1" applyAlignment="1">
      <alignment horizontal="center" vertical="center"/>
    </xf>
    <xf numFmtId="0" fontId="17" fillId="29" borderId="74" xfId="0" applyFont="1" applyFill="1" applyBorder="1" applyAlignment="1">
      <alignment horizontal="center" vertical="center"/>
    </xf>
    <xf numFmtId="0" fontId="17" fillId="29" borderId="75" xfId="0" applyFont="1" applyFill="1" applyBorder="1" applyAlignment="1">
      <alignment horizontal="center" vertical="center"/>
    </xf>
    <xf numFmtId="0" fontId="17" fillId="13" borderId="10" xfId="0" applyFont="1" applyFill="1" applyBorder="1" applyAlignment="1">
      <alignment horizontal="center" vertical="center"/>
    </xf>
    <xf numFmtId="0" fontId="17" fillId="13" borderId="1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7" fillId="0" borderId="48" xfId="0" applyFont="1" applyBorder="1" applyAlignment="1">
      <alignment horizontal="center" vertical="center" wrapText="1"/>
    </xf>
    <xf numFmtId="0" fontId="2" fillId="0" borderId="1" xfId="0" applyFont="1" applyBorder="1" applyAlignment="1">
      <alignment horizontal="center" vertical="center" readingOrder="1"/>
    </xf>
    <xf numFmtId="0" fontId="17" fillId="14" borderId="1" xfId="0" applyFont="1" applyFill="1" applyBorder="1" applyAlignment="1">
      <alignment horizontal="center" vertical="center"/>
    </xf>
    <xf numFmtId="0" fontId="17" fillId="35" borderId="1" xfId="0" applyFont="1" applyFill="1" applyBorder="1" applyAlignment="1">
      <alignment horizontal="center" vertical="center"/>
    </xf>
    <xf numFmtId="0" fontId="27" fillId="35" borderId="1" xfId="0" applyFont="1" applyFill="1" applyBorder="1" applyAlignment="1" applyProtection="1">
      <alignment horizontal="center" vertical="center"/>
    </xf>
    <xf numFmtId="0" fontId="17" fillId="0" borderId="8" xfId="0" applyFont="1" applyBorder="1" applyAlignment="1">
      <alignment horizontal="center" vertical="center"/>
    </xf>
    <xf numFmtId="0" fontId="27" fillId="0" borderId="1" xfId="0" applyFont="1" applyFill="1" applyBorder="1" applyAlignment="1" applyProtection="1">
      <alignment horizontal="center" vertical="center"/>
    </xf>
    <xf numFmtId="0" fontId="27" fillId="0" borderId="8" xfId="0" applyFont="1" applyFill="1" applyBorder="1" applyAlignment="1" applyProtection="1">
      <alignment horizontal="center" vertical="center"/>
    </xf>
    <xf numFmtId="0" fontId="22" fillId="0" borderId="1" xfId="0" applyFont="1" applyBorder="1" applyAlignment="1">
      <alignment horizontal="center" vertical="center"/>
    </xf>
    <xf numFmtId="0" fontId="26" fillId="22" borderId="27" xfId="0" applyFont="1" applyFill="1" applyBorder="1" applyAlignment="1" applyProtection="1">
      <alignment horizontal="center" vertical="center"/>
    </xf>
    <xf numFmtId="0" fontId="26" fillId="22" borderId="0" xfId="0" applyFont="1" applyFill="1" applyBorder="1" applyAlignment="1" applyProtection="1">
      <alignment horizontal="center" vertical="center"/>
    </xf>
    <xf numFmtId="0" fontId="26" fillId="22" borderId="13" xfId="0" applyFont="1" applyFill="1" applyBorder="1" applyAlignment="1" applyProtection="1">
      <alignment horizontal="center" vertical="center"/>
    </xf>
    <xf numFmtId="0" fontId="17" fillId="13" borderId="54" xfId="0" applyFont="1" applyFill="1" applyBorder="1" applyAlignment="1">
      <alignment horizontal="center" vertical="center"/>
    </xf>
    <xf numFmtId="0" fontId="17" fillId="13" borderId="55" xfId="0" applyFont="1" applyFill="1" applyBorder="1" applyAlignment="1">
      <alignment horizontal="center" vertical="center"/>
    </xf>
    <xf numFmtId="0" fontId="17" fillId="13" borderId="52" xfId="0" applyFont="1" applyFill="1" applyBorder="1" applyAlignment="1">
      <alignment horizontal="center" vertical="center"/>
    </xf>
    <xf numFmtId="0" fontId="17" fillId="13" borderId="56" xfId="0" applyFont="1" applyFill="1" applyBorder="1" applyAlignment="1">
      <alignment horizontal="center" vertical="center"/>
    </xf>
    <xf numFmtId="0" fontId="17" fillId="13" borderId="43" xfId="0" applyFont="1" applyFill="1" applyBorder="1" applyAlignment="1">
      <alignment horizontal="center" vertical="center"/>
    </xf>
    <xf numFmtId="0" fontId="17" fillId="13" borderId="57" xfId="0" applyFont="1" applyFill="1" applyBorder="1" applyAlignment="1">
      <alignment horizontal="center" vertical="center"/>
    </xf>
    <xf numFmtId="0" fontId="17" fillId="13" borderId="13" xfId="0" applyFont="1" applyFill="1" applyBorder="1" applyAlignment="1">
      <alignment horizontal="center" vertical="center"/>
    </xf>
    <xf numFmtId="0" fontId="17" fillId="13" borderId="58" xfId="0" applyFont="1" applyFill="1" applyBorder="1" applyAlignment="1">
      <alignment horizontal="center" vertical="center"/>
    </xf>
    <xf numFmtId="0" fontId="17" fillId="13" borderId="29" xfId="0" applyFont="1" applyFill="1" applyBorder="1" applyAlignment="1">
      <alignment horizontal="center" vertical="center"/>
    </xf>
    <xf numFmtId="0" fontId="43" fillId="40" borderId="5" xfId="0" applyFont="1" applyFill="1" applyBorder="1" applyAlignment="1">
      <alignment horizontal="right" vertical="center"/>
    </xf>
    <xf numFmtId="0" fontId="43" fillId="40"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8" xfId="0" applyFont="1" applyBorder="1" applyAlignment="1">
      <alignment horizontal="center" vertical="center"/>
    </xf>
    <xf numFmtId="0" fontId="23" fillId="18" borderId="41" xfId="0" applyFont="1" applyFill="1" applyBorder="1" applyAlignment="1">
      <alignment horizontal="center" vertical="center"/>
    </xf>
    <xf numFmtId="0" fontId="23" fillId="18" borderId="42" xfId="0" applyFont="1" applyFill="1" applyBorder="1" applyAlignment="1">
      <alignment horizontal="center" vertical="center"/>
    </xf>
    <xf numFmtId="0" fontId="23" fillId="18" borderId="43"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2" fontId="23" fillId="0" borderId="3" xfId="0" applyNumberFormat="1"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24" borderId="27" xfId="0" applyFont="1" applyFill="1" applyBorder="1" applyAlignment="1">
      <alignment horizontal="center" vertical="center"/>
    </xf>
    <xf numFmtId="0" fontId="23" fillId="24" borderId="0" xfId="0" applyFont="1" applyFill="1" applyBorder="1" applyAlignment="1">
      <alignment horizontal="center" vertical="center"/>
    </xf>
    <xf numFmtId="0" fontId="23" fillId="24" borderId="13" xfId="0" applyFont="1" applyFill="1" applyBorder="1" applyAlignment="1">
      <alignment horizontal="center" vertical="center"/>
    </xf>
    <xf numFmtId="0" fontId="47" fillId="0" borderId="1" xfId="0" applyFont="1" applyBorder="1" applyAlignment="1">
      <alignment horizontal="center" vertical="center" wrapText="1"/>
    </xf>
    <xf numFmtId="0" fontId="23" fillId="0" borderId="5" xfId="0" applyFont="1" applyBorder="1" applyAlignment="1">
      <alignment horizontal="center" vertical="center" readingOrder="2"/>
    </xf>
    <xf numFmtId="0" fontId="23" fillId="0" borderId="1" xfId="0" applyFont="1" applyBorder="1" applyAlignment="1">
      <alignment horizontal="center" vertical="center" readingOrder="2"/>
    </xf>
    <xf numFmtId="0" fontId="23" fillId="0" borderId="1" xfId="0" applyFont="1" applyBorder="1" applyAlignment="1">
      <alignment horizontal="center" vertical="center"/>
    </xf>
    <xf numFmtId="0" fontId="27" fillId="0" borderId="5" xfId="0" applyFont="1" applyBorder="1" applyAlignment="1">
      <alignment horizontal="center" vertical="center"/>
    </xf>
    <xf numFmtId="0" fontId="27" fillId="0" borderId="3" xfId="0" applyFont="1" applyFill="1" applyBorder="1" applyAlignment="1">
      <alignment horizontal="left" vertical="center"/>
    </xf>
    <xf numFmtId="0" fontId="23" fillId="17" borderId="41" xfId="0" applyFont="1" applyFill="1" applyBorder="1" applyAlignment="1">
      <alignment horizontal="center" vertical="center"/>
    </xf>
    <xf numFmtId="0" fontId="23" fillId="17" borderId="42" xfId="0" applyFont="1" applyFill="1" applyBorder="1" applyAlignment="1">
      <alignment horizontal="center" vertical="center"/>
    </xf>
    <xf numFmtId="0" fontId="23" fillId="17" borderId="43" xfId="0" applyFont="1" applyFill="1" applyBorder="1" applyAlignment="1">
      <alignment horizontal="center" vertical="center"/>
    </xf>
    <xf numFmtId="0" fontId="23" fillId="17" borderId="14" xfId="0" applyFont="1" applyFill="1" applyBorder="1" applyAlignment="1">
      <alignment horizontal="center" vertical="center"/>
    </xf>
    <xf numFmtId="0" fontId="23" fillId="17" borderId="44" xfId="0" applyFont="1" applyFill="1" applyBorder="1" applyAlignment="1">
      <alignment horizontal="center" vertical="center"/>
    </xf>
    <xf numFmtId="0" fontId="23" fillId="18" borderId="14" xfId="0" applyFont="1" applyFill="1" applyBorder="1" applyAlignment="1">
      <alignment horizontal="center" vertical="center"/>
    </xf>
    <xf numFmtId="0" fontId="23" fillId="18" borderId="44" xfId="0" applyFont="1" applyFill="1" applyBorder="1" applyAlignment="1">
      <alignment horizontal="center" vertical="center"/>
    </xf>
    <xf numFmtId="0" fontId="23" fillId="18" borderId="15"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3" fillId="11" borderId="41" xfId="0" applyFont="1" applyFill="1" applyBorder="1" applyAlignment="1">
      <alignment horizontal="center" vertical="center"/>
    </xf>
    <xf numFmtId="0" fontId="23" fillId="11" borderId="42" xfId="0" applyFont="1" applyFill="1" applyBorder="1" applyAlignment="1">
      <alignment horizontal="center" vertical="center"/>
    </xf>
    <xf numFmtId="0" fontId="23" fillId="11" borderId="43" xfId="0" applyFont="1" applyFill="1" applyBorder="1" applyAlignment="1">
      <alignment horizontal="center" vertical="center"/>
    </xf>
    <xf numFmtId="0" fontId="27" fillId="38" borderId="0" xfId="0" applyFont="1" applyFill="1" applyAlignment="1">
      <alignment horizontal="center" vertical="center"/>
    </xf>
    <xf numFmtId="0" fontId="27" fillId="38" borderId="13" xfId="0" applyFont="1" applyFill="1" applyBorder="1" applyAlignment="1">
      <alignment horizontal="center" vertical="center"/>
    </xf>
    <xf numFmtId="0" fontId="27" fillId="38" borderId="50" xfId="0" applyFont="1" applyFill="1" applyBorder="1" applyAlignment="1">
      <alignment horizontal="center" vertical="center"/>
    </xf>
    <xf numFmtId="0" fontId="27" fillId="38" borderId="29" xfId="0" applyFont="1" applyFill="1" applyBorder="1" applyAlignment="1">
      <alignment horizontal="center" vertical="center"/>
    </xf>
    <xf numFmtId="0" fontId="27" fillId="38" borderId="28" xfId="0" applyFont="1" applyFill="1" applyBorder="1" applyAlignment="1">
      <alignment horizontal="center" vertical="center"/>
    </xf>
    <xf numFmtId="0" fontId="27" fillId="0" borderId="76" xfId="0" applyFont="1" applyBorder="1" applyAlignment="1">
      <alignment horizontal="center" vertical="center"/>
    </xf>
    <xf numFmtId="0" fontId="38" fillId="0" borderId="76" xfId="0" applyFont="1" applyBorder="1" applyAlignment="1">
      <alignment horizontal="center" vertical="center" wrapText="1" readingOrder="1"/>
    </xf>
    <xf numFmtId="0" fontId="38" fillId="21" borderId="8" xfId="0" applyFont="1" applyFill="1" applyBorder="1" applyAlignment="1">
      <alignment horizontal="center" vertical="center"/>
    </xf>
    <xf numFmtId="0" fontId="38" fillId="21" borderId="9" xfId="0" applyFont="1" applyFill="1" applyBorder="1" applyAlignment="1">
      <alignment horizontal="center" vertical="center"/>
    </xf>
    <xf numFmtId="0" fontId="27" fillId="3" borderId="3"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protection locked="0"/>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38" fillId="21" borderId="1" xfId="0" applyFont="1" applyFill="1" applyBorder="1" applyAlignment="1">
      <alignment horizontal="center" vertical="center"/>
    </xf>
    <xf numFmtId="0" fontId="38" fillId="21" borderId="6" xfId="0" applyFont="1" applyFill="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 fillId="10" borderId="35" xfId="0" applyFont="1" applyFill="1" applyBorder="1" applyAlignment="1" applyProtection="1">
      <alignment horizontal="center" vertical="center"/>
    </xf>
    <xf numFmtId="0" fontId="1" fillId="10" borderId="71" xfId="0" applyFont="1" applyFill="1" applyBorder="1" applyAlignment="1" applyProtection="1">
      <alignment horizontal="center" vertical="center"/>
    </xf>
    <xf numFmtId="0" fontId="23" fillId="24" borderId="14" xfId="0" applyFont="1" applyFill="1" applyBorder="1" applyAlignment="1">
      <alignment horizontal="center" vertical="center"/>
    </xf>
    <xf numFmtId="0" fontId="23" fillId="24" borderId="44" xfId="0" applyFont="1" applyFill="1" applyBorder="1" applyAlignment="1">
      <alignment horizontal="center" vertical="center"/>
    </xf>
    <xf numFmtId="0" fontId="23" fillId="24" borderId="15" xfId="0" applyFont="1" applyFill="1" applyBorder="1" applyAlignment="1">
      <alignment horizontal="center" vertical="center"/>
    </xf>
    <xf numFmtId="2" fontId="27" fillId="0" borderId="7" xfId="0" applyNumberFormat="1" applyFont="1" applyBorder="1" applyAlignment="1">
      <alignment horizontal="center" vertical="center" readingOrder="1"/>
    </xf>
    <xf numFmtId="2" fontId="27" fillId="0" borderId="8" xfId="0" applyNumberFormat="1" applyFont="1" applyBorder="1" applyAlignment="1">
      <alignment horizontal="center" vertical="center" readingOrder="1"/>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27" fillId="0" borderId="3" xfId="0" applyFont="1" applyBorder="1" applyAlignment="1">
      <alignment horizontal="center" vertical="center" readingOrder="1"/>
    </xf>
    <xf numFmtId="0" fontId="27" fillId="0" borderId="59" xfId="0" applyFont="1" applyBorder="1" applyAlignment="1">
      <alignment horizontal="center" vertical="center"/>
    </xf>
    <xf numFmtId="0" fontId="23" fillId="0" borderId="22" xfId="0" applyFont="1" applyBorder="1" applyAlignment="1">
      <alignment horizontal="center" vertical="center"/>
    </xf>
    <xf numFmtId="0" fontId="23" fillId="0" borderId="59" xfId="0" applyFont="1" applyBorder="1" applyAlignment="1">
      <alignment horizontal="center" vertical="center"/>
    </xf>
    <xf numFmtId="0" fontId="27" fillId="0" borderId="59" xfId="0" applyFont="1" applyFill="1" applyBorder="1" applyAlignment="1" applyProtection="1">
      <alignment horizontal="center" vertical="center"/>
    </xf>
    <xf numFmtId="0" fontId="27" fillId="0" borderId="2" xfId="0" applyFont="1" applyBorder="1" applyAlignment="1">
      <alignment horizontal="center" vertical="center"/>
    </xf>
    <xf numFmtId="0" fontId="22" fillId="0" borderId="2" xfId="0" applyFont="1" applyBorder="1" applyAlignment="1">
      <alignment horizontal="center" vertical="center" readingOrder="1"/>
    </xf>
    <xf numFmtId="0" fontId="22" fillId="0" borderId="3" xfId="0" applyFont="1" applyBorder="1" applyAlignment="1">
      <alignment horizontal="center" vertical="center" readingOrder="1"/>
    </xf>
    <xf numFmtId="0" fontId="27" fillId="0" borderId="72" xfId="0" applyFont="1" applyBorder="1" applyAlignment="1">
      <alignment horizontal="center" vertical="center"/>
    </xf>
    <xf numFmtId="0" fontId="27" fillId="0" borderId="38" xfId="0" applyFont="1" applyBorder="1" applyAlignment="1">
      <alignment horizontal="center" vertical="center"/>
    </xf>
    <xf numFmtId="0" fontId="27" fillId="0" borderId="49" xfId="0" applyFont="1" applyBorder="1" applyAlignment="1">
      <alignment horizontal="center" vertical="center"/>
    </xf>
    <xf numFmtId="0" fontId="27" fillId="0" borderId="26" xfId="0" applyFont="1" applyBorder="1" applyAlignment="1">
      <alignment horizontal="center" vertical="center"/>
    </xf>
    <xf numFmtId="0" fontId="27" fillId="0" borderId="41" xfId="0" applyFont="1" applyBorder="1" applyAlignment="1">
      <alignment horizontal="center" vertical="center"/>
    </xf>
    <xf numFmtId="0" fontId="27" fillId="0" borderId="27" xfId="0" applyFont="1" applyBorder="1" applyAlignment="1">
      <alignment horizontal="center" vertical="center"/>
    </xf>
    <xf numFmtId="0" fontId="23" fillId="26" borderId="14" xfId="0" applyFont="1" applyFill="1" applyBorder="1" applyAlignment="1">
      <alignment horizontal="center" vertical="center"/>
    </xf>
    <xf numFmtId="0" fontId="23" fillId="26" borderId="15" xfId="0" applyFont="1" applyFill="1" applyBorder="1" applyAlignment="1">
      <alignment horizontal="center" vertical="center"/>
    </xf>
    <xf numFmtId="0" fontId="27" fillId="0" borderId="1"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39" xfId="0" applyFont="1" applyFill="1" applyBorder="1" applyAlignment="1">
      <alignment horizontal="center" vertical="center"/>
    </xf>
    <xf numFmtId="0" fontId="23" fillId="5" borderId="17" xfId="0" applyFont="1" applyFill="1" applyBorder="1" applyAlignment="1">
      <alignment horizontal="center" vertical="center"/>
    </xf>
    <xf numFmtId="0" fontId="3" fillId="5" borderId="18" xfId="0" applyFont="1" applyFill="1" applyBorder="1" applyAlignment="1" applyProtection="1">
      <alignment horizontal="center" vertical="center"/>
    </xf>
    <xf numFmtId="0" fontId="3" fillId="5" borderId="39"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8" fillId="0" borderId="22" xfId="0" applyFont="1" applyFill="1" applyBorder="1" applyAlignment="1" applyProtection="1">
      <alignment horizontal="center" vertical="center"/>
    </xf>
    <xf numFmtId="0" fontId="22" fillId="5" borderId="18" xfId="0" applyFont="1" applyFill="1" applyBorder="1" applyAlignment="1">
      <alignment horizontal="center" vertical="center"/>
    </xf>
    <xf numFmtId="0" fontId="22" fillId="5" borderId="39" xfId="0" applyFont="1" applyFill="1" applyBorder="1" applyAlignment="1">
      <alignment horizontal="center" vertical="center"/>
    </xf>
    <xf numFmtId="0" fontId="22" fillId="5" borderId="17" xfId="0" applyFont="1" applyFill="1" applyBorder="1" applyAlignment="1">
      <alignment horizontal="center" vertical="center"/>
    </xf>
    <xf numFmtId="0" fontId="27" fillId="0" borderId="22" xfId="0" applyFont="1" applyFill="1" applyBorder="1" applyAlignment="1" applyProtection="1">
      <alignment horizontal="center" vertical="center"/>
    </xf>
    <xf numFmtId="2" fontId="49" fillId="0" borderId="64" xfId="0" applyNumberFormat="1" applyFont="1" applyBorder="1" applyAlignment="1">
      <alignment horizontal="center" vertical="center" textRotation="90"/>
    </xf>
    <xf numFmtId="2" fontId="49" fillId="0" borderId="1" xfId="0" applyNumberFormat="1" applyFont="1" applyBorder="1" applyAlignment="1">
      <alignment horizontal="center" vertical="center" textRotation="90"/>
    </xf>
    <xf numFmtId="2" fontId="49" fillId="0" borderId="59" xfId="0" applyNumberFormat="1" applyFont="1" applyBorder="1" applyAlignment="1">
      <alignment horizontal="center" vertical="center" textRotation="90"/>
    </xf>
    <xf numFmtId="0" fontId="23" fillId="12" borderId="42" xfId="0" applyFont="1" applyFill="1" applyBorder="1" applyAlignment="1">
      <alignment horizontal="center" vertical="center"/>
    </xf>
    <xf numFmtId="0" fontId="23" fillId="12" borderId="43" xfId="0" applyFont="1" applyFill="1" applyBorder="1" applyAlignment="1">
      <alignment horizontal="center" vertical="center"/>
    </xf>
    <xf numFmtId="0" fontId="3" fillId="0" borderId="8" xfId="0" applyFont="1" applyBorder="1" applyAlignment="1">
      <alignment horizontal="center" vertical="center"/>
    </xf>
    <xf numFmtId="0" fontId="27" fillId="0" borderId="42" xfId="0" applyFont="1" applyBorder="1" applyAlignment="1">
      <alignment horizontal="center" vertical="center"/>
    </xf>
    <xf numFmtId="0" fontId="27" fillId="0" borderId="43" xfId="0" applyFont="1" applyBorder="1" applyAlignment="1">
      <alignment horizontal="center"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2" fontId="23" fillId="0" borderId="7" xfId="0" applyNumberFormat="1" applyFont="1" applyBorder="1" applyAlignment="1">
      <alignment horizontal="center" vertical="center" readingOrder="1"/>
    </xf>
    <xf numFmtId="2" fontId="23" fillId="0" borderId="8" xfId="0" applyNumberFormat="1" applyFont="1" applyBorder="1" applyAlignment="1">
      <alignment horizontal="center" vertical="center" readingOrder="1"/>
    </xf>
    <xf numFmtId="0" fontId="27" fillId="0" borderId="3" xfId="0" applyFont="1" applyBorder="1" applyAlignment="1">
      <alignment horizontal="center" vertical="center"/>
    </xf>
    <xf numFmtId="0" fontId="27" fillId="0" borderId="66" xfId="0" applyFont="1" applyBorder="1" applyAlignment="1">
      <alignment horizontal="center"/>
    </xf>
    <xf numFmtId="0" fontId="27" fillId="0" borderId="13" xfId="0" applyFont="1" applyBorder="1" applyAlignment="1">
      <alignment horizontal="center"/>
    </xf>
    <xf numFmtId="0" fontId="27" fillId="0" borderId="53" xfId="0" applyFont="1" applyBorder="1" applyAlignment="1">
      <alignment horizontal="center"/>
    </xf>
    <xf numFmtId="0" fontId="23" fillId="26" borderId="44" xfId="0" applyFont="1" applyFill="1" applyBorder="1" applyAlignment="1">
      <alignment horizontal="center" vertical="center"/>
    </xf>
    <xf numFmtId="0" fontId="27" fillId="0" borderId="67" xfId="0" applyFont="1" applyBorder="1" applyAlignment="1">
      <alignment horizontal="center" vertical="center"/>
    </xf>
    <xf numFmtId="0" fontId="27" fillId="0" borderId="40" xfId="0" applyFont="1" applyBorder="1" applyAlignment="1">
      <alignment horizontal="center" vertical="center"/>
    </xf>
    <xf numFmtId="0" fontId="37" fillId="0" borderId="51" xfId="0" applyFont="1" applyBorder="1" applyAlignment="1">
      <alignment horizontal="center" vertical="center"/>
    </xf>
    <xf numFmtId="0" fontId="37" fillId="0" borderId="21" xfId="0" applyFont="1" applyBorder="1" applyAlignment="1">
      <alignment horizontal="center" vertical="center"/>
    </xf>
    <xf numFmtId="0" fontId="27" fillId="0" borderId="51"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37" fillId="0" borderId="68" xfId="0" applyFont="1" applyBorder="1" applyAlignment="1">
      <alignment horizontal="center" vertical="center"/>
    </xf>
    <xf numFmtId="0" fontId="37" fillId="0" borderId="30" xfId="0" applyFont="1" applyBorder="1" applyAlignment="1">
      <alignment horizontal="center" vertical="center"/>
    </xf>
    <xf numFmtId="0" fontId="27" fillId="0" borderId="68" xfId="0" applyFont="1" applyFill="1" applyBorder="1" applyAlignment="1" applyProtection="1">
      <alignment horizontal="center" vertical="center"/>
    </xf>
    <xf numFmtId="0" fontId="27" fillId="0" borderId="30" xfId="0" applyFont="1" applyFill="1" applyBorder="1" applyAlignment="1" applyProtection="1">
      <alignment horizontal="center" vertical="center"/>
    </xf>
    <xf numFmtId="0" fontId="27" fillId="0" borderId="49" xfId="0" applyFont="1" applyFill="1" applyBorder="1" applyAlignment="1" applyProtection="1">
      <alignment horizontal="center" vertical="center"/>
    </xf>
    <xf numFmtId="0" fontId="27" fillId="0" borderId="64"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80" xfId="0" applyFont="1" applyBorder="1" applyAlignment="1">
      <alignment horizontal="center" vertical="center"/>
    </xf>
    <xf numFmtId="0" fontId="27" fillId="0" borderId="60" xfId="0" applyFont="1" applyBorder="1" applyAlignment="1">
      <alignment horizontal="center" vertical="center"/>
    </xf>
    <xf numFmtId="0" fontId="22" fillId="39" borderId="14" xfId="0" applyFont="1" applyFill="1" applyBorder="1" applyAlignment="1">
      <alignment horizontal="center" vertical="center"/>
    </xf>
    <xf numFmtId="0" fontId="22" fillId="39" borderId="44" xfId="0" applyFont="1" applyFill="1" applyBorder="1" applyAlignment="1">
      <alignment horizontal="center" vertical="center"/>
    </xf>
    <xf numFmtId="0" fontId="22" fillId="39" borderId="15" xfId="0" applyFont="1" applyFill="1" applyBorder="1" applyAlignment="1">
      <alignment horizontal="center" vertical="center"/>
    </xf>
    <xf numFmtId="0" fontId="23" fillId="39" borderId="14" xfId="0" applyFont="1" applyFill="1" applyBorder="1" applyAlignment="1">
      <alignment horizontal="center" vertical="center"/>
    </xf>
    <xf numFmtId="0" fontId="23" fillId="39" borderId="44" xfId="0" applyFont="1" applyFill="1" applyBorder="1" applyAlignment="1">
      <alignment horizontal="center" vertical="center"/>
    </xf>
    <xf numFmtId="0" fontId="23" fillId="39" borderId="15" xfId="0" applyFont="1" applyFill="1" applyBorder="1" applyAlignment="1">
      <alignment horizontal="center" vertical="center"/>
    </xf>
    <xf numFmtId="0" fontId="17" fillId="38" borderId="0" xfId="0" applyFont="1" applyFill="1" applyBorder="1" applyAlignment="1">
      <alignment horizontal="center" vertical="center"/>
    </xf>
    <xf numFmtId="0" fontId="17" fillId="38" borderId="13" xfId="0" applyFont="1" applyFill="1" applyBorder="1" applyAlignment="1">
      <alignment horizontal="center" vertical="center"/>
    </xf>
    <xf numFmtId="0" fontId="17" fillId="38" borderId="50" xfId="0" applyFont="1" applyFill="1" applyBorder="1" applyAlignment="1">
      <alignment horizontal="center" vertical="center"/>
    </xf>
    <xf numFmtId="0" fontId="17" fillId="38" borderId="29" xfId="0" applyFont="1" applyFill="1" applyBorder="1" applyAlignment="1">
      <alignment horizontal="center" vertical="center"/>
    </xf>
    <xf numFmtId="0" fontId="26" fillId="22" borderId="27" xfId="0" applyFont="1" applyFill="1" applyBorder="1" applyAlignment="1">
      <alignment horizontal="center" vertical="center"/>
    </xf>
    <xf numFmtId="0" fontId="26" fillId="22" borderId="0" xfId="0" applyFont="1" applyFill="1" applyBorder="1" applyAlignment="1">
      <alignment horizontal="center" vertical="center"/>
    </xf>
    <xf numFmtId="0" fontId="26" fillId="22" borderId="13" xfId="0" applyFont="1" applyFill="1" applyBorder="1" applyAlignment="1">
      <alignment horizontal="center" vertical="center"/>
    </xf>
    <xf numFmtId="0" fontId="3" fillId="39" borderId="14" xfId="0" applyFont="1" applyFill="1" applyBorder="1" applyAlignment="1" applyProtection="1">
      <alignment horizontal="center" vertical="center"/>
    </xf>
    <xf numFmtId="0" fontId="3" fillId="39" borderId="44" xfId="0" applyFont="1" applyFill="1" applyBorder="1" applyAlignment="1" applyProtection="1">
      <alignment horizontal="center" vertical="center"/>
    </xf>
    <xf numFmtId="0" fontId="3" fillId="39" borderId="15" xfId="0" applyFont="1" applyFill="1" applyBorder="1" applyAlignment="1" applyProtection="1">
      <alignment horizontal="center" vertical="center"/>
    </xf>
    <xf numFmtId="2" fontId="49" fillId="0" borderId="81" xfId="0" applyNumberFormat="1" applyFont="1" applyBorder="1" applyAlignment="1">
      <alignment horizontal="center" vertical="center" textRotation="90"/>
    </xf>
    <xf numFmtId="2" fontId="49" fillId="0" borderId="67" xfId="0" applyNumberFormat="1" applyFont="1" applyBorder="1" applyAlignment="1">
      <alignment horizontal="center" vertical="center" textRotation="90"/>
    </xf>
    <xf numFmtId="2" fontId="49" fillId="0" borderId="0" xfId="0" applyNumberFormat="1" applyFont="1" applyBorder="1" applyAlignment="1">
      <alignment horizontal="center" vertical="center" textRotation="90"/>
    </xf>
    <xf numFmtId="0" fontId="38" fillId="0" borderId="51" xfId="0" applyFont="1" applyFill="1" applyBorder="1" applyAlignment="1" applyProtection="1">
      <alignment horizontal="center" vertical="center"/>
    </xf>
    <xf numFmtId="0" fontId="38" fillId="0" borderId="77" xfId="0" applyFont="1" applyFill="1" applyBorder="1" applyAlignment="1" applyProtection="1">
      <alignment horizontal="center" vertical="center"/>
    </xf>
    <xf numFmtId="0" fontId="38" fillId="0" borderId="21" xfId="0" applyFont="1" applyFill="1" applyBorder="1" applyAlignment="1" applyProtection="1">
      <alignment horizontal="center" vertical="center"/>
    </xf>
    <xf numFmtId="0" fontId="27" fillId="0" borderId="61" xfId="0" applyFont="1" applyBorder="1" applyAlignment="1">
      <alignment horizontal="center" vertical="center"/>
    </xf>
    <xf numFmtId="0" fontId="27" fillId="0" borderId="28" xfId="0" applyFont="1" applyBorder="1" applyAlignment="1">
      <alignment horizontal="center" vertical="center"/>
    </xf>
    <xf numFmtId="0" fontId="27" fillId="0" borderId="62" xfId="0" applyFont="1" applyBorder="1" applyAlignment="1">
      <alignment horizontal="center" vertical="center"/>
    </xf>
    <xf numFmtId="0" fontId="27" fillId="25" borderId="14" xfId="0" applyFont="1" applyFill="1" applyBorder="1" applyAlignment="1">
      <alignment horizontal="center" vertical="center"/>
    </xf>
    <xf numFmtId="0" fontId="27" fillId="25" borderId="44" xfId="0" applyFont="1" applyFill="1" applyBorder="1" applyAlignment="1">
      <alignment horizontal="center" vertical="center"/>
    </xf>
    <xf numFmtId="0" fontId="27" fillId="25" borderId="15" xfId="0" applyFont="1" applyFill="1" applyBorder="1" applyAlignment="1">
      <alignment horizontal="center" vertical="center"/>
    </xf>
    <xf numFmtId="0" fontId="40" fillId="27" borderId="43" xfId="0" applyFont="1" applyFill="1" applyBorder="1" applyAlignment="1">
      <alignment horizontal="center"/>
    </xf>
    <xf numFmtId="0" fontId="40" fillId="27" borderId="13" xfId="0" applyFont="1" applyFill="1" applyBorder="1" applyAlignment="1">
      <alignment horizontal="center"/>
    </xf>
    <xf numFmtId="0" fontId="40" fillId="27" borderId="29" xfId="0" applyFont="1" applyFill="1" applyBorder="1" applyAlignment="1">
      <alignment horizontal="center"/>
    </xf>
    <xf numFmtId="0" fontId="27" fillId="27" borderId="50" xfId="0" applyFont="1" applyFill="1" applyBorder="1" applyAlignment="1">
      <alignment horizontal="center"/>
    </xf>
    <xf numFmtId="0" fontId="27" fillId="27" borderId="27" xfId="0" applyFont="1" applyFill="1" applyBorder="1" applyAlignment="1">
      <alignment horizontal="center"/>
    </xf>
    <xf numFmtId="0" fontId="2" fillId="11" borderId="19" xfId="0" applyFont="1" applyFill="1" applyBorder="1" applyAlignment="1" applyProtection="1">
      <alignment horizontal="center" vertical="center"/>
    </xf>
    <xf numFmtId="0" fontId="2" fillId="11" borderId="12" xfId="0" applyFont="1" applyFill="1" applyBorder="1" applyAlignment="1" applyProtection="1">
      <alignment horizontal="center" vertical="center"/>
    </xf>
    <xf numFmtId="0" fontId="2" fillId="11" borderId="63" xfId="0" applyFont="1" applyFill="1" applyBorder="1" applyAlignment="1" applyProtection="1">
      <alignment horizontal="center" vertical="center"/>
    </xf>
    <xf numFmtId="0" fontId="2" fillId="11" borderId="73" xfId="0" applyFont="1" applyFill="1" applyBorder="1" applyAlignment="1" applyProtection="1">
      <alignment horizontal="center" vertical="center"/>
    </xf>
    <xf numFmtId="0" fontId="20" fillId="5" borderId="50" xfId="0" applyFont="1" applyFill="1" applyBorder="1" applyAlignment="1" applyProtection="1">
      <alignment horizontal="center" vertical="center" readingOrder="2"/>
    </xf>
    <xf numFmtId="0" fontId="20" fillId="5" borderId="50" xfId="0" applyFont="1" applyFill="1" applyBorder="1" applyAlignment="1">
      <alignment horizontal="center" vertical="center"/>
    </xf>
    <xf numFmtId="0" fontId="20" fillId="5" borderId="0" xfId="0" applyFont="1" applyFill="1" applyBorder="1" applyAlignment="1">
      <alignment horizontal="center" vertical="center"/>
    </xf>
    <xf numFmtId="0" fontId="50" fillId="27" borderId="41" xfId="0" applyFont="1" applyFill="1" applyBorder="1" applyAlignment="1">
      <alignment horizontal="center" vertical="center" textRotation="90"/>
    </xf>
    <xf numFmtId="0" fontId="27" fillId="27" borderId="27" xfId="0" applyFont="1" applyFill="1" applyBorder="1" applyAlignment="1">
      <alignment horizontal="center" vertical="center" textRotation="90"/>
    </xf>
    <xf numFmtId="0" fontId="27" fillId="27" borderId="28" xfId="0" applyFont="1" applyFill="1" applyBorder="1" applyAlignment="1">
      <alignment horizontal="center" vertical="center" textRotation="90"/>
    </xf>
  </cellXfs>
  <cellStyles count="2">
    <cellStyle name="Hyperlink" xfId="1" builtinId="8"/>
    <cellStyle name="Normal" xfId="0" builtinId="0"/>
  </cellStyles>
  <dxfs count="0"/>
  <tableStyles count="0" defaultTableStyle="TableStyleMedium2" defaultPivotStyle="PivotStyleLight16"/>
  <colors>
    <mruColors>
      <color rgb="FF13CB32"/>
      <color rgb="FF9F52EC"/>
      <color rgb="FFE8130E"/>
      <color rgb="FFFBF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png"/><Relationship Id="rId4" Type="http://schemas.microsoft.com/office/2007/relationships/hdphoto" Target="../media/hdphoto2.wdp"/></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4.wdp"/><Relationship Id="rId1" Type="http://schemas.openxmlformats.org/officeDocument/2006/relationships/image" Target="../media/image4.png"/><Relationship Id="rId5" Type="http://schemas.openxmlformats.org/officeDocument/2006/relationships/image" Target="../media/image6.png"/><Relationship Id="rId4"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editAs="oneCell">
    <xdr:from>
      <xdr:col>18</xdr:col>
      <xdr:colOff>74083</xdr:colOff>
      <xdr:row>11</xdr:row>
      <xdr:rowOff>63499</xdr:rowOff>
    </xdr:from>
    <xdr:to>
      <xdr:col>22</xdr:col>
      <xdr:colOff>740834</xdr:colOff>
      <xdr:row>27</xdr:row>
      <xdr:rowOff>113280</xdr:rowOff>
    </xdr:to>
    <xdr:pic>
      <xdr:nvPicPr>
        <xdr:cNvPr id="2" name="Picture 1"/>
        <xdr:cNvPicPr>
          <a:picLocks noChangeAspect="1"/>
        </xdr:cNvPicPr>
      </xdr:nvPicPr>
      <xdr:blipFill>
        <a:blip xmlns:r="http://schemas.openxmlformats.org/officeDocument/2006/relationships" r:embed="rId1">
          <a:duotone>
            <a:prstClr val="black"/>
            <a:schemeClr val="accent4">
              <a:tint val="45000"/>
              <a:satMod val="400000"/>
            </a:schemeClr>
          </a:duotone>
          <a:extLst>
            <a:ext uri="{BEBA8EAE-BF5A-486C-A8C5-ECC9F3942E4B}">
              <a14:imgProps xmlns:a14="http://schemas.microsoft.com/office/drawing/2010/main">
                <a14:imgLayer r:embed="rId2">
                  <a14:imgEffect>
                    <a14:sharpenSoften amount="50000"/>
                  </a14:imgEffect>
                </a14:imgLayer>
              </a14:imgProps>
            </a:ext>
          </a:extLst>
        </a:blip>
        <a:stretch>
          <a:fillRect/>
        </a:stretch>
      </xdr:blipFill>
      <xdr:spPr>
        <a:xfrm>
          <a:off x="14171083" y="666749"/>
          <a:ext cx="3799418" cy="3267115"/>
        </a:xfrm>
        <a:prstGeom prst="rect">
          <a:avLst/>
        </a:prstGeom>
      </xdr:spPr>
    </xdr:pic>
    <xdr:clientData/>
  </xdr:twoCellAnchor>
  <xdr:twoCellAnchor editAs="oneCell">
    <xdr:from>
      <xdr:col>12</xdr:col>
      <xdr:colOff>52916</xdr:colOff>
      <xdr:row>11</xdr:row>
      <xdr:rowOff>42332</xdr:rowOff>
    </xdr:from>
    <xdr:to>
      <xdr:col>16</xdr:col>
      <xdr:colOff>740832</xdr:colOff>
      <xdr:row>26</xdr:row>
      <xdr:rowOff>159971</xdr:rowOff>
    </xdr:to>
    <xdr:pic>
      <xdr:nvPicPr>
        <xdr:cNvPr id="4" name="Picture 3"/>
        <xdr:cNvPicPr>
          <a:picLocks noChangeAspect="1"/>
        </xdr:cNvPicPr>
      </xdr:nvPicPr>
      <xdr:blipFill>
        <a:blip xmlns:r="http://schemas.openxmlformats.org/officeDocument/2006/relationships" r:embed="rId3">
          <a:duotone>
            <a:prstClr val="black"/>
            <a:schemeClr val="accent2">
              <a:tint val="45000"/>
              <a:satMod val="400000"/>
            </a:schemeClr>
          </a:duotone>
          <a:extLst>
            <a:ext uri="{BEBA8EAE-BF5A-486C-A8C5-ECC9F3942E4B}">
              <a14:imgProps xmlns:a14="http://schemas.microsoft.com/office/drawing/2010/main">
                <a14:imgLayer r:embed="rId4">
                  <a14:imgEffect>
                    <a14:sharpenSoften amount="50000"/>
                  </a14:imgEffect>
                </a14:imgLayer>
              </a14:imgProps>
            </a:ext>
          </a:extLst>
        </a:blip>
        <a:stretch>
          <a:fillRect/>
        </a:stretch>
      </xdr:blipFill>
      <xdr:spPr>
        <a:xfrm>
          <a:off x="9450916" y="645582"/>
          <a:ext cx="3820583" cy="3133889"/>
        </a:xfrm>
        <a:prstGeom prst="rect">
          <a:avLst/>
        </a:prstGeom>
      </xdr:spPr>
    </xdr:pic>
    <xdr:clientData/>
  </xdr:twoCellAnchor>
  <xdr:twoCellAnchor editAs="oneCell">
    <xdr:from>
      <xdr:col>23</xdr:col>
      <xdr:colOff>306917</xdr:colOff>
      <xdr:row>13</xdr:row>
      <xdr:rowOff>179917</xdr:rowOff>
    </xdr:from>
    <xdr:to>
      <xdr:col>28</xdr:col>
      <xdr:colOff>314892</xdr:colOff>
      <xdr:row>25</xdr:row>
      <xdr:rowOff>52631</xdr:rowOff>
    </xdr:to>
    <xdr:pic>
      <xdr:nvPicPr>
        <xdr:cNvPr id="3" name="Picture 2"/>
        <xdr:cNvPicPr>
          <a:picLocks noChangeAspect="1"/>
        </xdr:cNvPicPr>
      </xdr:nvPicPr>
      <xdr:blipFill>
        <a:blip xmlns:r="http://schemas.openxmlformats.org/officeDocument/2006/relationships" r:embed="rId5">
          <a:duotone>
            <a:prstClr val="black"/>
            <a:schemeClr val="accent6">
              <a:tint val="45000"/>
              <a:satMod val="400000"/>
            </a:schemeClr>
          </a:duotone>
          <a:extLst>
            <a:ext uri="{BEBA8EAE-BF5A-486C-A8C5-ECC9F3942E4B}">
              <a14:imgProps xmlns:a14="http://schemas.microsoft.com/office/drawing/2010/main">
                <a14:imgLayer r:embed="rId6">
                  <a14:imgEffect>
                    <a14:sharpenSoften amount="50000"/>
                  </a14:imgEffect>
                </a14:imgLayer>
              </a14:imgProps>
            </a:ext>
          </a:extLst>
        </a:blip>
        <a:stretch>
          <a:fillRect/>
        </a:stretch>
      </xdr:blipFill>
      <xdr:spPr>
        <a:xfrm>
          <a:off x="18319750" y="2719917"/>
          <a:ext cx="3923809" cy="22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34</xdr:col>
      <xdr:colOff>57150</xdr:colOff>
      <xdr:row>29</xdr:row>
      <xdr:rowOff>14287</xdr:rowOff>
    </xdr:from>
    <xdr:ext cx="1669944" cy="175369"/>
    <mc:AlternateContent xmlns:mc="http://schemas.openxmlformats.org/markup-compatibility/2006" xmlns:a14="http://schemas.microsoft.com/office/drawing/2010/main">
      <mc:Choice Requires="a14">
        <xdr:sp macro="" textlink="">
          <xdr:nvSpPr>
            <xdr:cNvPr id="2" name="TextBox 1"/>
            <xdr:cNvSpPr txBox="1"/>
          </xdr:nvSpPr>
          <xdr:spPr>
            <a:xfrm>
              <a:off x="9391650" y="3271837"/>
              <a:ext cx="1669944"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mn-lt"/>
                </a:rPr>
                <a:t>f(x)=</a:t>
              </a:r>
              <a14:m>
                <m:oMath xmlns:m="http://schemas.openxmlformats.org/officeDocument/2006/math">
                  <m:sSup>
                    <m:sSupPr>
                      <m:ctrlPr>
                        <a:rPr lang="en-US" sz="1100" i="1">
                          <a:latin typeface="Cambria Math" panose="02040503050406030204" pitchFamily="18" charset="0"/>
                        </a:rPr>
                      </m:ctrlPr>
                    </m:sSupPr>
                    <m:e>
                      <m:r>
                        <a:rPr lang="en-US" sz="1100" b="0" i="1">
                          <a:latin typeface="Cambria Math" panose="02040503050406030204" pitchFamily="18" charset="0"/>
                        </a:rPr>
                        <m:t>𝑥</m:t>
                      </m:r>
                    </m:e>
                    <m:sup>
                      <m:r>
                        <a:rPr lang="en-US" sz="1100" b="0" i="1">
                          <a:latin typeface="Cambria Math" panose="02040503050406030204" pitchFamily="18" charset="0"/>
                        </a:rPr>
                        <m:t>3</m:t>
                      </m:r>
                    </m:sup>
                  </m:sSup>
                  <m:r>
                    <a:rPr lang="en-US" sz="1100" b="0" i="1">
                      <a:latin typeface="Cambria Math" panose="02040503050406030204" pitchFamily="18" charset="0"/>
                    </a:rPr>
                    <m:t>+</m:t>
                  </m:r>
                  <m:sSup>
                    <m:sSupPr>
                      <m:ctrlPr>
                        <a:rPr lang="en-US" sz="1100" b="0" i="1">
                          <a:latin typeface="Cambria Math" panose="02040503050406030204" pitchFamily="18" charset="0"/>
                        </a:rPr>
                      </m:ctrlPr>
                    </m:sSupPr>
                    <m:e>
                      <m:r>
                        <a:rPr lang="en-US" sz="1100" b="0" i="1">
                          <a:latin typeface="Cambria Math" panose="02040503050406030204" pitchFamily="18" charset="0"/>
                        </a:rPr>
                        <m:t>𝐾</m:t>
                      </m:r>
                      <m:r>
                        <a:rPr lang="en-US" sz="1100" b="0" i="1">
                          <a:latin typeface="Cambria Math" panose="02040503050406030204" pitchFamily="18" charset="0"/>
                        </a:rPr>
                        <m:t>1</m:t>
                      </m:r>
                      <m:r>
                        <a:rPr lang="en-US" sz="1100" b="0" i="1">
                          <a:latin typeface="Cambria Math" panose="02040503050406030204" pitchFamily="18" charset="0"/>
                        </a:rPr>
                        <m:t>𝑥</m:t>
                      </m:r>
                    </m:e>
                    <m:sup>
                      <m:r>
                        <a:rPr lang="en-US" sz="1100" b="0" i="1">
                          <a:latin typeface="Cambria Math" panose="02040503050406030204" pitchFamily="18" charset="0"/>
                        </a:rPr>
                        <m:t>2</m:t>
                      </m:r>
                    </m:sup>
                  </m:sSup>
                  <m:r>
                    <a:rPr lang="en-US" sz="1100" b="0" i="1">
                      <a:latin typeface="Cambria Math" panose="02040503050406030204" pitchFamily="18" charset="0"/>
                    </a:rPr>
                    <m:t>+</m:t>
                  </m:r>
                  <m:r>
                    <a:rPr lang="en-US" sz="1100" b="0" i="1">
                      <a:latin typeface="Cambria Math" panose="02040503050406030204" pitchFamily="18" charset="0"/>
                    </a:rPr>
                    <m:t>𝐾</m:t>
                  </m:r>
                  <m:r>
                    <a:rPr lang="en-US" sz="1100" b="0" i="1">
                      <a:latin typeface="Cambria Math" panose="02040503050406030204" pitchFamily="18" charset="0"/>
                    </a:rPr>
                    <m:t>2</m:t>
                  </m:r>
                  <m:r>
                    <a:rPr lang="en-US" sz="1100" b="0" i="1">
                      <a:latin typeface="Cambria Math" panose="02040503050406030204" pitchFamily="18" charset="0"/>
                    </a:rPr>
                    <m:t>𝑥</m:t>
                  </m:r>
                  <m:r>
                    <a:rPr lang="en-US" sz="1100" b="0" i="1">
                      <a:latin typeface="Cambria Math" panose="02040503050406030204" pitchFamily="18" charset="0"/>
                    </a:rPr>
                    <m:t>+</m:t>
                  </m:r>
                  <m:r>
                    <a:rPr lang="en-US" sz="1100" b="0" i="1">
                      <a:latin typeface="Cambria Math" panose="02040503050406030204" pitchFamily="18" charset="0"/>
                    </a:rPr>
                    <m:t>𝐾</m:t>
                  </m:r>
                  <m:r>
                    <a:rPr lang="en-US" sz="1100" b="0" i="1">
                      <a:latin typeface="Cambria Math" panose="02040503050406030204" pitchFamily="18" charset="0"/>
                    </a:rPr>
                    <m:t>3</m:t>
                  </m:r>
                </m:oMath>
              </a14:m>
              <a:endParaRPr lang="en-US" sz="1100"/>
            </a:p>
          </xdr:txBody>
        </xdr:sp>
      </mc:Choice>
      <mc:Fallback xmlns="">
        <xdr:sp macro="" textlink="">
          <xdr:nvSpPr>
            <xdr:cNvPr id="2" name="TextBox 1"/>
            <xdr:cNvSpPr txBox="1"/>
          </xdr:nvSpPr>
          <xdr:spPr>
            <a:xfrm>
              <a:off x="9391650" y="3271837"/>
              <a:ext cx="1669944"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mn-lt"/>
                </a:rPr>
                <a:t>f(x)=</a:t>
              </a:r>
              <a:r>
                <a:rPr lang="en-US" sz="1100" b="0" i="0">
                  <a:latin typeface="Cambria Math" panose="02040503050406030204" pitchFamily="18" charset="0"/>
                </a:rPr>
                <a:t>𝑥^3+〖𝐾1𝑥〗^2+𝐾2𝑥+𝐾3</a:t>
              </a:r>
              <a:endParaRPr lang="en-US" sz="1100"/>
            </a:p>
          </xdr:txBody>
        </xdr:sp>
      </mc:Fallback>
    </mc:AlternateContent>
    <xdr:clientData/>
  </xdr:oneCellAnchor>
  <xdr:oneCellAnchor>
    <xdr:from>
      <xdr:col>31</xdr:col>
      <xdr:colOff>190500</xdr:colOff>
      <xdr:row>30</xdr:row>
      <xdr:rowOff>0</xdr:rowOff>
    </xdr:from>
    <xdr:ext cx="1364348" cy="175369"/>
    <mc:AlternateContent xmlns:mc="http://schemas.openxmlformats.org/markup-compatibility/2006" xmlns:a14="http://schemas.microsoft.com/office/drawing/2010/main">
      <mc:Choice Requires="a14">
        <xdr:sp macro="" textlink="">
          <xdr:nvSpPr>
            <xdr:cNvPr id="3" name="TextBox 2"/>
            <xdr:cNvSpPr txBox="1"/>
          </xdr:nvSpPr>
          <xdr:spPr>
            <a:xfrm>
              <a:off x="7696200" y="3429000"/>
              <a:ext cx="136434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mn-lt"/>
                </a:rPr>
                <a:t>f(x)'=</a:t>
              </a:r>
              <a14:m>
                <m:oMath xmlns:m="http://schemas.openxmlformats.org/officeDocument/2006/math">
                  <m:sSup>
                    <m:sSupPr>
                      <m:ctrlPr>
                        <a:rPr lang="en-US" sz="1100" i="1">
                          <a:latin typeface="Cambria Math" panose="02040503050406030204" pitchFamily="18" charset="0"/>
                        </a:rPr>
                      </m:ctrlPr>
                    </m:sSupPr>
                    <m:e>
                      <m:r>
                        <a:rPr lang="en-US" sz="1100" b="0" i="1">
                          <a:latin typeface="Cambria Math" panose="02040503050406030204" pitchFamily="18" charset="0"/>
                        </a:rPr>
                        <m:t>3</m:t>
                      </m:r>
                      <m:r>
                        <a:rPr lang="en-US" sz="1100" b="0" i="1">
                          <a:latin typeface="Cambria Math" panose="02040503050406030204" pitchFamily="18" charset="0"/>
                        </a:rPr>
                        <m:t>𝑥</m:t>
                      </m:r>
                    </m:e>
                    <m:sup>
                      <m:r>
                        <a:rPr lang="en-US" sz="1100" b="0" i="1">
                          <a:latin typeface="Cambria Math" panose="02040503050406030204" pitchFamily="18" charset="0"/>
                        </a:rPr>
                        <m:t>2</m:t>
                      </m:r>
                    </m:sup>
                  </m:sSup>
                  <m:r>
                    <a:rPr lang="en-US" sz="1100" b="0" i="1">
                      <a:latin typeface="Cambria Math" panose="02040503050406030204" pitchFamily="18" charset="0"/>
                    </a:rPr>
                    <m:t>+</m:t>
                  </m:r>
                  <m:r>
                    <a:rPr lang="en-US" sz="1100" b="0" i="1">
                      <a:latin typeface="Cambria Math" panose="02040503050406030204" pitchFamily="18" charset="0"/>
                    </a:rPr>
                    <m:t>2</m:t>
                  </m:r>
                  <m:r>
                    <a:rPr lang="en-US" sz="1100" b="0" i="1">
                      <a:latin typeface="Cambria Math" panose="02040503050406030204" pitchFamily="18" charset="0"/>
                    </a:rPr>
                    <m:t>𝐾</m:t>
                  </m:r>
                  <m:r>
                    <a:rPr lang="en-US" sz="1100" b="0" i="1">
                      <a:latin typeface="Cambria Math" panose="02040503050406030204" pitchFamily="18" charset="0"/>
                    </a:rPr>
                    <m:t>1</m:t>
                  </m:r>
                  <m:r>
                    <a:rPr lang="en-US" sz="1100" b="0" i="1">
                      <a:latin typeface="Cambria Math" panose="02040503050406030204" pitchFamily="18" charset="0"/>
                    </a:rPr>
                    <m:t>𝑥</m:t>
                  </m:r>
                  <m:r>
                    <a:rPr lang="en-US" sz="1100" b="0" i="1">
                      <a:latin typeface="Cambria Math" panose="02040503050406030204" pitchFamily="18" charset="0"/>
                    </a:rPr>
                    <m:t>+</m:t>
                  </m:r>
                  <m:r>
                    <a:rPr lang="en-US" sz="1100" b="0" i="1">
                      <a:latin typeface="Cambria Math" panose="02040503050406030204" pitchFamily="18" charset="0"/>
                    </a:rPr>
                    <m:t>𝐾</m:t>
                  </m:r>
                  <m:r>
                    <a:rPr lang="en-US" sz="1100" b="0" i="1">
                      <a:latin typeface="Cambria Math" panose="02040503050406030204" pitchFamily="18" charset="0"/>
                    </a:rPr>
                    <m:t>2</m:t>
                  </m:r>
                </m:oMath>
              </a14:m>
              <a:endParaRPr lang="en-US" sz="1100"/>
            </a:p>
          </xdr:txBody>
        </xdr:sp>
      </mc:Choice>
      <mc:Fallback xmlns="">
        <xdr:sp macro="" textlink="">
          <xdr:nvSpPr>
            <xdr:cNvPr id="3" name="TextBox 2"/>
            <xdr:cNvSpPr txBox="1"/>
          </xdr:nvSpPr>
          <xdr:spPr>
            <a:xfrm>
              <a:off x="7696200" y="3429000"/>
              <a:ext cx="136434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mn-lt"/>
                </a:rPr>
                <a:t>f(x)'=</a:t>
              </a:r>
              <a:r>
                <a:rPr lang="en-US" sz="1100" i="0">
                  <a:latin typeface="Cambria Math" panose="02040503050406030204" pitchFamily="18" charset="0"/>
                </a:rPr>
                <a:t>〖</a:t>
              </a:r>
              <a:r>
                <a:rPr lang="en-US" sz="1100" b="0" i="0">
                  <a:latin typeface="Cambria Math" panose="02040503050406030204" pitchFamily="18" charset="0"/>
                </a:rPr>
                <a:t>3𝑥〗^2+2𝐾1𝑥+𝐾2</a:t>
              </a:r>
              <a:endParaRPr lang="en-US" sz="1100"/>
            </a:p>
          </xdr:txBody>
        </xdr:sp>
      </mc:Fallback>
    </mc:AlternateContent>
    <xdr:clientData/>
  </xdr:oneCellAnchor>
  <xdr:twoCellAnchor editAs="oneCell">
    <xdr:from>
      <xdr:col>8</xdr:col>
      <xdr:colOff>1</xdr:colOff>
      <xdr:row>10</xdr:row>
      <xdr:rowOff>207598</xdr:rowOff>
    </xdr:from>
    <xdr:to>
      <xdr:col>15</xdr:col>
      <xdr:colOff>146539</xdr:colOff>
      <xdr:row>21</xdr:row>
      <xdr:rowOff>221314</xdr:rowOff>
    </xdr:to>
    <xdr:pic>
      <xdr:nvPicPr>
        <xdr:cNvPr id="11" name="Picture 10"/>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colorTemperature colorTemp="11200"/>
                  </a14:imgEffect>
                </a14:imgLayer>
              </a14:imgProps>
            </a:ext>
          </a:extLst>
        </a:blip>
        <a:stretch>
          <a:fillRect/>
        </a:stretch>
      </xdr:blipFill>
      <xdr:spPr>
        <a:xfrm>
          <a:off x="6252309" y="2649906"/>
          <a:ext cx="5617307" cy="2700254"/>
        </a:xfrm>
        <a:prstGeom prst="rect">
          <a:avLst/>
        </a:prstGeom>
      </xdr:spPr>
    </xdr:pic>
    <xdr:clientData/>
  </xdr:twoCellAnchor>
  <xdr:twoCellAnchor editAs="oneCell">
    <xdr:from>
      <xdr:col>42</xdr:col>
      <xdr:colOff>24419</xdr:colOff>
      <xdr:row>22</xdr:row>
      <xdr:rowOff>232019</xdr:rowOff>
    </xdr:from>
    <xdr:to>
      <xdr:col>46</xdr:col>
      <xdr:colOff>24422</xdr:colOff>
      <xdr:row>35</xdr:row>
      <xdr:rowOff>15056</xdr:rowOff>
    </xdr:to>
    <xdr:pic>
      <xdr:nvPicPr>
        <xdr:cNvPr id="12" name="Picture 11"/>
        <xdr:cNvPicPr>
          <a:picLocks noChangeAspect="1"/>
        </xdr:cNvPicPr>
      </xdr:nvPicPr>
      <xdr:blipFill>
        <a:blip xmlns:r="http://schemas.openxmlformats.org/officeDocument/2006/relationships" r:embed="rId3">
          <a:duotone>
            <a:prstClr val="black"/>
            <a:schemeClr val="accent6">
              <a:tint val="45000"/>
              <a:satMod val="400000"/>
            </a:schemeClr>
          </a:duotone>
          <a:extLst>
            <a:ext uri="{BEBA8EAE-BF5A-486C-A8C5-ECC9F3942E4B}">
              <a14:imgProps xmlns:a14="http://schemas.microsoft.com/office/drawing/2010/main">
                <a14:imgLayer r:embed="rId4">
                  <a14:imgEffect>
                    <a14:sharpenSoften amount="50000"/>
                  </a14:imgEffect>
                </a14:imgLayer>
              </a14:imgProps>
            </a:ext>
          </a:extLst>
        </a:blip>
        <a:stretch>
          <a:fillRect/>
        </a:stretch>
      </xdr:blipFill>
      <xdr:spPr>
        <a:xfrm>
          <a:off x="32849034" y="4383942"/>
          <a:ext cx="3126157" cy="2958037"/>
        </a:xfrm>
        <a:prstGeom prst="rect">
          <a:avLst/>
        </a:prstGeom>
      </xdr:spPr>
    </xdr:pic>
    <xdr:clientData/>
  </xdr:twoCellAnchor>
  <xdr:twoCellAnchor editAs="oneCell">
    <xdr:from>
      <xdr:col>11</xdr:col>
      <xdr:colOff>769327</xdr:colOff>
      <xdr:row>0</xdr:row>
      <xdr:rowOff>158750</xdr:rowOff>
    </xdr:from>
    <xdr:to>
      <xdr:col>15</xdr:col>
      <xdr:colOff>622788</xdr:colOff>
      <xdr:row>10</xdr:row>
      <xdr:rowOff>159062</xdr:rowOff>
    </xdr:to>
    <xdr:pic>
      <xdr:nvPicPr>
        <xdr:cNvPr id="13" name="Picture 12"/>
        <xdr:cNvPicPr>
          <a:picLocks noChangeAspect="1"/>
        </xdr:cNvPicPr>
      </xdr:nvPicPr>
      <xdr:blipFill>
        <a:blip xmlns:r="http://schemas.openxmlformats.org/officeDocument/2006/relationships" r:embed="rId5"/>
        <a:stretch>
          <a:fillRect/>
        </a:stretch>
      </xdr:blipFill>
      <xdr:spPr>
        <a:xfrm>
          <a:off x="9366250" y="158750"/>
          <a:ext cx="2979615" cy="24426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elegram.me/saber_kalantari7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3"/>
  <sheetViews>
    <sheetView tabSelected="1" topLeftCell="K22" zoomScale="90" zoomScaleNormal="90" workbookViewId="0">
      <selection activeCell="R16" sqref="R16"/>
    </sheetView>
  </sheetViews>
  <sheetFormatPr defaultRowHeight="15" x14ac:dyDescent="0.25"/>
  <cols>
    <col min="1" max="36" width="11.7109375" style="25" customWidth="1"/>
    <col min="37" max="39" width="11.7109375" style="7" customWidth="1"/>
    <col min="40" max="40" width="11.7109375" style="1" customWidth="1"/>
  </cols>
  <sheetData>
    <row r="1" spans="1:40" x14ac:dyDescent="0.25">
      <c r="A1" s="312"/>
      <c r="B1" s="61"/>
      <c r="C1" s="34"/>
      <c r="D1" s="313" t="s">
        <v>277</v>
      </c>
      <c r="E1" s="313"/>
      <c r="F1" s="313"/>
      <c r="G1" s="34"/>
      <c r="H1" s="34"/>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14"/>
      <c r="AL1" s="14"/>
      <c r="AM1" s="14"/>
      <c r="AN1" s="14"/>
    </row>
    <row r="2" spans="1:40" x14ac:dyDescent="0.25">
      <c r="A2" s="61"/>
      <c r="B2" s="61"/>
      <c r="C2" s="34"/>
      <c r="D2" s="313"/>
      <c r="E2" s="313"/>
      <c r="F2" s="313"/>
      <c r="H2" s="34"/>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14"/>
      <c r="AL2" s="14"/>
      <c r="AM2" s="14"/>
      <c r="AN2" s="14"/>
    </row>
    <row r="3" spans="1:40" x14ac:dyDescent="0.25">
      <c r="A3" s="61"/>
      <c r="B3" s="61"/>
      <c r="C3" s="34"/>
      <c r="D3" s="313"/>
      <c r="E3" s="313"/>
      <c r="F3" s="313"/>
      <c r="G3" s="34"/>
      <c r="H3" s="34"/>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14"/>
      <c r="AL3" s="14"/>
      <c r="AM3" s="14"/>
      <c r="AN3" s="14"/>
    </row>
    <row r="4" spans="1:40" x14ac:dyDescent="0.25">
      <c r="A4" s="61"/>
      <c r="B4" s="61"/>
      <c r="C4" s="34"/>
      <c r="D4" s="314" t="s">
        <v>278</v>
      </c>
      <c r="E4" s="314"/>
      <c r="F4" s="314"/>
      <c r="G4" s="34"/>
      <c r="H4" s="34"/>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14"/>
      <c r="AL4" s="14"/>
      <c r="AM4" s="14"/>
      <c r="AN4" s="14"/>
    </row>
    <row r="5" spans="1:40" x14ac:dyDescent="0.25">
      <c r="A5" s="61"/>
      <c r="B5" s="61"/>
      <c r="C5" s="34"/>
      <c r="D5" s="315" t="s">
        <v>280</v>
      </c>
      <c r="E5" s="315"/>
      <c r="F5" s="315"/>
      <c r="G5" s="34"/>
      <c r="H5" s="34"/>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14"/>
      <c r="AL5" s="14"/>
      <c r="AM5" s="14"/>
      <c r="AN5" s="14"/>
    </row>
    <row r="6" spans="1:40" x14ac:dyDescent="0.25">
      <c r="A6" s="61"/>
      <c r="B6" s="61"/>
      <c r="C6" s="316" t="s">
        <v>281</v>
      </c>
      <c r="D6" s="316"/>
      <c r="E6" s="316"/>
      <c r="F6" s="316"/>
      <c r="G6" s="316"/>
      <c r="H6" s="316"/>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14"/>
      <c r="AL6" s="14"/>
      <c r="AM6" s="14"/>
      <c r="AN6" s="14"/>
    </row>
    <row r="7" spans="1:40" x14ac:dyDescent="0.25">
      <c r="A7" s="61"/>
      <c r="B7" s="61"/>
      <c r="C7" s="316"/>
      <c r="D7" s="316"/>
      <c r="E7" s="316"/>
      <c r="F7" s="316"/>
      <c r="G7" s="316"/>
      <c r="H7" s="316"/>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14"/>
      <c r="AL7" s="14"/>
      <c r="AM7" s="14"/>
      <c r="AN7" s="14"/>
    </row>
    <row r="8" spans="1:40" ht="15.95" customHeight="1" x14ac:dyDescent="0.25">
      <c r="C8" s="316"/>
      <c r="D8" s="316"/>
      <c r="E8" s="316"/>
      <c r="F8" s="316"/>
      <c r="G8" s="316"/>
      <c r="H8" s="316"/>
    </row>
    <row r="9" spans="1:40" ht="15.95" customHeight="1" x14ac:dyDescent="0.25">
      <c r="A9" s="61"/>
      <c r="B9" s="61"/>
      <c r="C9" s="303"/>
      <c r="D9" s="304"/>
      <c r="E9" s="305"/>
      <c r="F9" s="306" t="s">
        <v>279</v>
      </c>
      <c r="G9" s="303"/>
      <c r="H9" s="303"/>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14"/>
      <c r="AL9" s="14"/>
      <c r="AM9" s="14"/>
      <c r="AN9" s="14"/>
    </row>
    <row r="10" spans="1:40" ht="15.95" customHeight="1" thickBot="1" x14ac:dyDescent="0.3"/>
    <row r="11" spans="1:40" ht="15.95" customHeight="1" thickBot="1" x14ac:dyDescent="0.3">
      <c r="C11" s="332" t="s">
        <v>139</v>
      </c>
      <c r="D11" s="333"/>
      <c r="E11" s="333"/>
      <c r="F11" s="333"/>
      <c r="G11" s="333"/>
      <c r="H11" s="333"/>
      <c r="I11" s="333"/>
      <c r="J11" s="334"/>
    </row>
    <row r="12" spans="1:40" ht="15.95" customHeight="1" thickBot="1" x14ac:dyDescent="0.3">
      <c r="A12" s="26"/>
      <c r="B12" s="26"/>
      <c r="C12" s="167" t="s">
        <v>141</v>
      </c>
      <c r="D12" s="138">
        <v>0</v>
      </c>
      <c r="E12" s="169" t="s">
        <v>142</v>
      </c>
      <c r="F12" s="140">
        <v>0</v>
      </c>
      <c r="G12" s="171" t="s">
        <v>0</v>
      </c>
      <c r="H12" s="138">
        <v>0</v>
      </c>
      <c r="I12" s="174" t="s">
        <v>5</v>
      </c>
      <c r="J12" s="142">
        <v>0</v>
      </c>
    </row>
    <row r="13" spans="1:40" ht="15.95" customHeight="1" x14ac:dyDescent="0.25">
      <c r="A13" s="26"/>
      <c r="B13" s="26"/>
      <c r="C13" s="168" t="s">
        <v>10</v>
      </c>
      <c r="D13" s="67">
        <v>0</v>
      </c>
      <c r="E13" s="170" t="s">
        <v>143</v>
      </c>
      <c r="F13" s="67">
        <v>0</v>
      </c>
      <c r="G13" s="172" t="s">
        <v>30</v>
      </c>
      <c r="H13" s="67">
        <v>0</v>
      </c>
      <c r="I13" s="170" t="s">
        <v>4</v>
      </c>
      <c r="J13" s="141">
        <v>0</v>
      </c>
    </row>
    <row r="14" spans="1:40" ht="15.95" customHeight="1" thickBot="1" x14ac:dyDescent="0.3">
      <c r="C14" s="169" t="s">
        <v>64</v>
      </c>
      <c r="D14" s="139">
        <v>0</v>
      </c>
      <c r="E14" s="175"/>
      <c r="F14" s="175"/>
      <c r="G14" s="173" t="s">
        <v>144</v>
      </c>
      <c r="H14" s="140">
        <v>0</v>
      </c>
      <c r="I14" s="175"/>
      <c r="J14" s="176"/>
    </row>
    <row r="15" spans="1:40" ht="15.95" customHeight="1" thickBot="1" x14ac:dyDescent="0.3"/>
    <row r="16" spans="1:40" ht="15.95" customHeight="1" thickBot="1" x14ac:dyDescent="0.3">
      <c r="C16" s="335" t="s">
        <v>251</v>
      </c>
      <c r="D16" s="336"/>
      <c r="E16" s="336"/>
      <c r="F16" s="336"/>
      <c r="G16" s="336"/>
      <c r="H16" s="336"/>
      <c r="I16" s="336"/>
      <c r="J16" s="336"/>
      <c r="K16" s="337"/>
    </row>
    <row r="17" spans="2:40" ht="15.95" customHeight="1" x14ac:dyDescent="0.25">
      <c r="C17" s="180" t="s">
        <v>260</v>
      </c>
      <c r="D17" s="183" t="e">
        <f>F12/(D12*H12*0.85)</f>
        <v>#DIV/0!</v>
      </c>
      <c r="E17" s="30" t="s">
        <v>6</v>
      </c>
      <c r="F17" s="182" t="s">
        <v>3</v>
      </c>
      <c r="G17" s="143">
        <v>0</v>
      </c>
      <c r="H17" s="182" t="s">
        <v>282</v>
      </c>
      <c r="I17" s="143">
        <v>0</v>
      </c>
      <c r="J17" s="30" t="s">
        <v>7</v>
      </c>
      <c r="K17" s="185" t="e">
        <f>IF((G17*I17)&gt;=(D17),"ok","error")</f>
        <v>#DIV/0!</v>
      </c>
    </row>
    <row r="18" spans="2:40" ht="15.95" customHeight="1" x14ac:dyDescent="0.25">
      <c r="C18" s="181" t="s">
        <v>1</v>
      </c>
      <c r="D18" s="184">
        <f>((I17-(0.95*J13))/2)</f>
        <v>0</v>
      </c>
      <c r="E18" s="320" t="s">
        <v>8</v>
      </c>
      <c r="F18" s="368" t="s">
        <v>9</v>
      </c>
      <c r="G18" s="368"/>
      <c r="H18" s="368"/>
      <c r="I18" s="368"/>
      <c r="J18" s="368"/>
      <c r="K18" s="369"/>
    </row>
    <row r="19" spans="2:40" ht="15.95" customHeight="1" x14ac:dyDescent="0.25">
      <c r="C19" s="181" t="s">
        <v>2</v>
      </c>
      <c r="D19" s="184">
        <f>((G17-(0.8*J12))/2)</f>
        <v>0</v>
      </c>
      <c r="E19" s="320"/>
      <c r="F19" s="368"/>
      <c r="G19" s="368"/>
      <c r="H19" s="368"/>
      <c r="I19" s="368"/>
      <c r="J19" s="368"/>
      <c r="K19" s="369"/>
    </row>
    <row r="20" spans="2:40" ht="15.95" customHeight="1" thickBot="1" x14ac:dyDescent="0.3">
      <c r="C20" s="386" t="s">
        <v>79</v>
      </c>
      <c r="D20" s="387"/>
      <c r="E20" s="387"/>
      <c r="F20" s="387"/>
      <c r="G20" s="387"/>
      <c r="H20" s="387"/>
      <c r="I20" s="186" t="e">
        <f>IF((F12)&lt;=J20,"ok","error")</f>
        <v>#DIV/0!</v>
      </c>
      <c r="J20" s="187" t="e">
        <f>IF((0.85*G17*I17*H12*(SQRT(F13/(G17*I17)))*D12)&lt;=(1.7*H12*G17*I17*D12),(0.85*G17*I17*H12*(SQRT(F13/(G17*I17)))*D12),(1.7*G17*H12*I17*D12))</f>
        <v>#DIV/0!</v>
      </c>
      <c r="K20" s="176"/>
    </row>
    <row r="21" spans="2:40" ht="15.95" customHeight="1" x14ac:dyDescent="0.25">
      <c r="G21" s="26"/>
    </row>
    <row r="22" spans="2:40" ht="15.95" customHeight="1" thickBot="1" x14ac:dyDescent="0.3">
      <c r="I22" s="47"/>
      <c r="J22" s="47"/>
      <c r="K22" s="47"/>
      <c r="L22" s="47"/>
    </row>
    <row r="23" spans="2:40" ht="15.95" customHeight="1" thickBot="1" x14ac:dyDescent="0.3">
      <c r="C23" s="338" t="s">
        <v>252</v>
      </c>
      <c r="D23" s="339"/>
      <c r="E23" s="339"/>
      <c r="F23" s="339"/>
      <c r="G23" s="339"/>
      <c r="H23" s="339"/>
      <c r="I23" s="340"/>
    </row>
    <row r="24" spans="2:40" ht="15.95" customHeight="1" x14ac:dyDescent="0.25">
      <c r="C24" s="52" t="s">
        <v>28</v>
      </c>
      <c r="D24" s="385" t="s">
        <v>145</v>
      </c>
      <c r="E24" s="385"/>
      <c r="F24" s="189" t="s">
        <v>146</v>
      </c>
      <c r="G24" s="195" t="e">
        <f>F12/(G17*I17)</f>
        <v>#DIV/0!</v>
      </c>
      <c r="H24" s="189" t="s">
        <v>80</v>
      </c>
      <c r="I24" s="199" t="e">
        <f>IF((0.85*H12*D12*(SQRT(F13/(I17*G17))))&gt;(1.7*H12*D12),(1.7*H12*D12),(0.85*H12*D12*(SQRT(F13/(I17*G17)))))</f>
        <v>#DIV/0!</v>
      </c>
    </row>
    <row r="25" spans="2:40" ht="15.95" customHeight="1" x14ac:dyDescent="0.25">
      <c r="C25" s="411" t="s">
        <v>148</v>
      </c>
      <c r="D25" s="412"/>
      <c r="E25" s="54" t="e">
        <f>IF(G24&lt;=I24,"ok &gt;&gt;&gt;","error")</f>
        <v>#DIV/0!</v>
      </c>
      <c r="F25" s="190" t="s">
        <v>149</v>
      </c>
      <c r="G25" s="196" t="e">
        <f>(1.5*D19)*(SQRT(G24/D13))</f>
        <v>#DIV/0!</v>
      </c>
      <c r="H25" s="190" t="s">
        <v>150</v>
      </c>
      <c r="I25" s="200" t="e">
        <f>(1.5*D18)*(SQRT(G24/D13))</f>
        <v>#DIV/0!</v>
      </c>
      <c r="AN25" s="5"/>
    </row>
    <row r="26" spans="2:40" ht="15.95" customHeight="1" x14ac:dyDescent="0.25">
      <c r="C26" s="53" t="s">
        <v>29</v>
      </c>
      <c r="D26" s="370" t="s">
        <v>147</v>
      </c>
      <c r="E26" s="370"/>
      <c r="F26" s="191" t="s">
        <v>146</v>
      </c>
      <c r="G26" s="197" t="e">
        <f>F12/(G17*I17)</f>
        <v>#DIV/0!</v>
      </c>
      <c r="H26" s="191" t="s">
        <v>80</v>
      </c>
      <c r="I26" s="201" t="e">
        <f>I24</f>
        <v>#DIV/0!</v>
      </c>
      <c r="J26" s="45"/>
      <c r="K26" s="26"/>
      <c r="L26" s="26"/>
      <c r="AK26" s="12"/>
      <c r="AL26" s="12"/>
      <c r="AM26" s="12"/>
      <c r="AN26" s="12"/>
    </row>
    <row r="27" spans="2:40" ht="15.95" customHeight="1" x14ac:dyDescent="0.25">
      <c r="C27" s="413" t="s">
        <v>148</v>
      </c>
      <c r="D27" s="414"/>
      <c r="E27" s="20" t="e">
        <f>IF(G26&lt;=I26,"ok &gt;&gt;&gt;","error")</f>
        <v>#DIV/0!</v>
      </c>
      <c r="F27" s="192" t="s">
        <v>150</v>
      </c>
      <c r="G27" s="198" t="e">
        <f>(G26*D18)/(0.6*D13*H13)</f>
        <v>#DIV/0!</v>
      </c>
      <c r="H27" s="192" t="s">
        <v>149</v>
      </c>
      <c r="I27" s="202" t="e">
        <f>(G26*D19)/(0.6*D13*H13)</f>
        <v>#DIV/0!</v>
      </c>
      <c r="J27" s="45"/>
      <c r="K27" s="26"/>
      <c r="L27" s="26"/>
      <c r="S27" s="33"/>
      <c r="T27" s="33"/>
      <c r="U27" s="33"/>
      <c r="V27" s="33"/>
      <c r="W27" s="33"/>
      <c r="X27" s="33"/>
      <c r="Y27" s="33"/>
      <c r="Z27" s="33"/>
      <c r="AA27" s="33"/>
      <c r="AB27" s="33"/>
      <c r="AC27" s="33"/>
      <c r="AD27" s="33"/>
      <c r="AE27" s="33"/>
      <c r="AF27" s="33"/>
      <c r="AG27" s="33"/>
      <c r="AH27" s="33"/>
      <c r="AI27" s="33"/>
      <c r="AJ27" s="33"/>
      <c r="AK27" s="14"/>
      <c r="AL27" s="14"/>
      <c r="AM27" s="14"/>
      <c r="AN27" s="14"/>
    </row>
    <row r="28" spans="2:40" ht="15.95" customHeight="1" thickBot="1" x14ac:dyDescent="0.3">
      <c r="B28" s="26"/>
      <c r="C28" s="341" t="s">
        <v>31</v>
      </c>
      <c r="D28" s="342"/>
      <c r="E28" s="342"/>
      <c r="F28" s="342"/>
      <c r="G28" s="51" t="e">
        <f>IF((MAX(G25,I25))&gt;=(MAX(I27,G27)),"خمش","برش")</f>
        <v>#DIV/0!</v>
      </c>
      <c r="H28" s="193" t="s">
        <v>43</v>
      </c>
      <c r="I28" s="144">
        <v>0</v>
      </c>
      <c r="J28" s="45"/>
      <c r="K28" s="26"/>
      <c r="L28" s="26"/>
      <c r="M28" s="46"/>
      <c r="P28" s="35"/>
      <c r="R28" s="35"/>
      <c r="S28" s="33"/>
      <c r="T28" s="33"/>
      <c r="U28" s="33"/>
      <c r="V28" s="33"/>
      <c r="W28" s="33"/>
      <c r="X28" s="33"/>
      <c r="Y28" s="33"/>
      <c r="Z28" s="33"/>
      <c r="AA28" s="33"/>
      <c r="AB28" s="33"/>
      <c r="AC28" s="33"/>
      <c r="AD28" s="33"/>
      <c r="AE28" s="33"/>
      <c r="AF28" s="33"/>
      <c r="AG28" s="33"/>
      <c r="AH28" s="33"/>
      <c r="AI28" s="33"/>
      <c r="AJ28" s="33"/>
      <c r="AK28" s="14"/>
      <c r="AL28" s="14"/>
      <c r="AM28" s="14"/>
      <c r="AN28" s="14"/>
    </row>
    <row r="29" spans="2:40" ht="15.95" customHeight="1" x14ac:dyDescent="0.25">
      <c r="B29" s="26"/>
      <c r="C29" s="26"/>
      <c r="F29" s="35"/>
      <c r="G29" s="45"/>
      <c r="H29" s="45"/>
      <c r="I29" s="45"/>
      <c r="J29" s="45"/>
      <c r="K29" s="55"/>
      <c r="L29" s="26"/>
      <c r="M29" s="46"/>
      <c r="P29" s="35"/>
      <c r="R29" s="35"/>
      <c r="S29" s="33"/>
      <c r="T29" s="33"/>
      <c r="U29" s="33"/>
      <c r="V29" s="33"/>
      <c r="W29" s="33"/>
      <c r="X29" s="33"/>
      <c r="Y29" s="33"/>
      <c r="Z29" s="33"/>
      <c r="AA29" s="33"/>
      <c r="AB29" s="33"/>
      <c r="AC29" s="33"/>
      <c r="AD29" s="33"/>
      <c r="AE29" s="33"/>
      <c r="AF29" s="33"/>
      <c r="AG29" s="33"/>
      <c r="AH29" s="33"/>
      <c r="AI29" s="33"/>
      <c r="AJ29" s="33"/>
      <c r="AK29" s="14"/>
      <c r="AL29" s="14"/>
      <c r="AM29" s="14"/>
      <c r="AN29" s="14"/>
    </row>
    <row r="30" spans="2:40" ht="15.95" customHeight="1" x14ac:dyDescent="0.25">
      <c r="B30" s="26"/>
      <c r="C30" s="26"/>
      <c r="M30" s="46"/>
      <c r="P30" s="35"/>
      <c r="R30" s="35"/>
      <c r="S30" s="33"/>
      <c r="T30" s="33"/>
      <c r="U30" s="33"/>
      <c r="V30" s="33"/>
      <c r="W30" s="33"/>
      <c r="X30" s="33"/>
      <c r="Y30" s="33"/>
      <c r="Z30" s="33"/>
      <c r="AA30" s="33"/>
      <c r="AB30" s="33"/>
      <c r="AC30" s="33"/>
      <c r="AD30" s="33"/>
      <c r="AE30" s="33"/>
      <c r="AF30" s="33"/>
      <c r="AG30" s="33"/>
      <c r="AH30" s="33"/>
      <c r="AI30" s="33"/>
      <c r="AJ30" s="33"/>
      <c r="AK30" s="14"/>
      <c r="AL30" s="14"/>
      <c r="AM30" s="14"/>
      <c r="AN30" s="14"/>
    </row>
    <row r="31" spans="2:40" ht="15.95" customHeight="1" x14ac:dyDescent="0.25">
      <c r="B31" s="26"/>
      <c r="C31" s="26"/>
      <c r="F31" s="35"/>
      <c r="G31" s="45"/>
      <c r="H31" s="45"/>
      <c r="I31" s="45"/>
      <c r="J31" s="45"/>
      <c r="K31" s="26"/>
      <c r="L31" s="26"/>
      <c r="M31" s="46"/>
      <c r="P31" s="35"/>
      <c r="R31" s="35"/>
      <c r="S31" s="33"/>
      <c r="T31" s="33"/>
      <c r="U31" s="33"/>
      <c r="V31" s="33"/>
      <c r="W31" s="33"/>
      <c r="X31" s="33"/>
      <c r="Y31" s="33"/>
      <c r="Z31" s="33"/>
      <c r="AA31" s="33"/>
      <c r="AB31" s="33"/>
      <c r="AC31" s="33"/>
      <c r="AD31" s="33"/>
      <c r="AE31" s="33"/>
      <c r="AF31" s="33"/>
      <c r="AG31" s="33"/>
      <c r="AH31" s="33"/>
      <c r="AI31" s="33"/>
      <c r="AJ31" s="33"/>
      <c r="AK31" s="14"/>
      <c r="AL31" s="14"/>
      <c r="AM31" s="14"/>
      <c r="AN31" s="14"/>
    </row>
    <row r="32" spans="2:40" ht="15.95" customHeight="1" thickBot="1" x14ac:dyDescent="0.3">
      <c r="B32" s="26"/>
      <c r="C32" s="26"/>
      <c r="F32" s="35"/>
      <c r="H32" s="35"/>
      <c r="R32" s="35"/>
      <c r="S32" s="33"/>
      <c r="T32" s="33"/>
      <c r="U32" s="33"/>
      <c r="V32" s="33"/>
      <c r="W32" s="33"/>
      <c r="X32" s="33"/>
      <c r="Y32" s="33"/>
      <c r="Z32" s="33"/>
      <c r="AA32" s="33"/>
      <c r="AB32" s="33"/>
      <c r="AC32" s="33"/>
      <c r="AD32" s="33"/>
      <c r="AE32" s="33"/>
      <c r="AF32" s="33"/>
      <c r="AG32" s="33"/>
      <c r="AH32" s="33"/>
      <c r="AI32" s="33"/>
      <c r="AJ32" s="33"/>
      <c r="AK32" s="14"/>
      <c r="AL32" s="14"/>
      <c r="AM32" s="14"/>
      <c r="AN32" s="14"/>
    </row>
    <row r="33" spans="2:40" ht="15.95" customHeight="1" thickBot="1" x14ac:dyDescent="0.3">
      <c r="B33" s="26"/>
      <c r="C33" s="405" t="s">
        <v>253</v>
      </c>
      <c r="D33" s="406"/>
      <c r="E33" s="406"/>
      <c r="F33" s="406"/>
      <c r="G33" s="406"/>
      <c r="H33" s="406"/>
      <c r="I33" s="406"/>
      <c r="J33" s="406"/>
      <c r="K33" s="406"/>
      <c r="L33" s="406"/>
      <c r="M33" s="406"/>
      <c r="N33" s="407"/>
      <c r="P33" s="371" t="s">
        <v>93</v>
      </c>
      <c r="Q33" s="373" t="s">
        <v>94</v>
      </c>
      <c r="R33" s="400" t="s">
        <v>95</v>
      </c>
      <c r="S33" s="401"/>
      <c r="T33" s="401"/>
      <c r="U33" s="401"/>
      <c r="V33" s="401"/>
      <c r="W33" s="401"/>
      <c r="X33" s="401"/>
      <c r="Y33" s="401"/>
      <c r="Z33" s="401"/>
      <c r="AA33" s="401"/>
      <c r="AB33" s="401"/>
      <c r="AC33" s="402"/>
      <c r="AD33" s="33"/>
      <c r="AE33" s="33"/>
      <c r="AF33" s="33"/>
      <c r="AG33" s="33"/>
      <c r="AH33" s="33"/>
      <c r="AI33" s="33"/>
      <c r="AJ33" s="33"/>
      <c r="AK33" s="14"/>
      <c r="AL33" s="14"/>
      <c r="AM33" s="14"/>
      <c r="AN33" s="14"/>
    </row>
    <row r="34" spans="2:40" ht="15.95" customHeight="1" x14ac:dyDescent="0.25">
      <c r="B34" s="26"/>
      <c r="C34" s="408" t="s">
        <v>179</v>
      </c>
      <c r="D34" s="409"/>
      <c r="E34" s="382"/>
      <c r="F34" s="419" t="s">
        <v>285</v>
      </c>
      <c r="G34" s="419"/>
      <c r="H34" s="419"/>
      <c r="I34" s="419"/>
      <c r="J34" s="382"/>
      <c r="K34" s="420" t="s">
        <v>284</v>
      </c>
      <c r="L34" s="420"/>
      <c r="M34" s="420"/>
      <c r="N34" s="421"/>
      <c r="P34" s="372"/>
      <c r="Q34" s="374"/>
      <c r="R34" s="29">
        <v>1</v>
      </c>
      <c r="S34" s="29">
        <v>1.1000000000000001</v>
      </c>
      <c r="T34" s="29">
        <v>1.2</v>
      </c>
      <c r="U34" s="29">
        <v>1.3</v>
      </c>
      <c r="V34" s="29">
        <v>1.4</v>
      </c>
      <c r="W34" s="29">
        <v>1.5</v>
      </c>
      <c r="X34" s="29">
        <v>1.6</v>
      </c>
      <c r="Y34" s="29">
        <v>1.7</v>
      </c>
      <c r="Z34" s="29">
        <v>1.8</v>
      </c>
      <c r="AA34" s="29">
        <v>1.9</v>
      </c>
      <c r="AB34" s="29">
        <v>2</v>
      </c>
      <c r="AC34" s="36" t="s">
        <v>96</v>
      </c>
      <c r="AE34" s="33"/>
    </row>
    <row r="35" spans="2:40" ht="15.95" customHeight="1" x14ac:dyDescent="0.25">
      <c r="B35" s="26"/>
      <c r="C35" s="168" t="s">
        <v>85</v>
      </c>
      <c r="D35" s="67">
        <v>0</v>
      </c>
      <c r="E35" s="381"/>
      <c r="F35" s="170" t="s">
        <v>151</v>
      </c>
      <c r="G35" s="67">
        <v>0</v>
      </c>
      <c r="H35" s="170" t="s">
        <v>152</v>
      </c>
      <c r="I35" s="67">
        <v>0</v>
      </c>
      <c r="J35" s="381"/>
      <c r="K35" s="170" t="s">
        <v>87</v>
      </c>
      <c r="L35" s="67">
        <v>0</v>
      </c>
      <c r="M35" s="205" t="s">
        <v>88</v>
      </c>
      <c r="N35" s="141">
        <v>0</v>
      </c>
      <c r="P35" s="372"/>
      <c r="Q35" s="37" t="s">
        <v>154</v>
      </c>
      <c r="R35" s="29">
        <v>4.8000000000000001E-2</v>
      </c>
      <c r="S35" s="29">
        <v>5.5E-2</v>
      </c>
      <c r="T35" s="29">
        <v>6.3E-2</v>
      </c>
      <c r="U35" s="29">
        <v>6.9000000000000006E-2</v>
      </c>
      <c r="V35" s="29">
        <v>7.4999999999999997E-2</v>
      </c>
      <c r="W35" s="29">
        <v>8.1000000000000003E-2</v>
      </c>
      <c r="X35" s="29">
        <v>8.5999999999999993E-2</v>
      </c>
      <c r="Y35" s="29">
        <v>9.0999999999999998E-2</v>
      </c>
      <c r="Z35" s="29">
        <v>9.4E-2</v>
      </c>
      <c r="AA35" s="29">
        <v>9.8000000000000004E-2</v>
      </c>
      <c r="AB35" s="29">
        <v>0.1</v>
      </c>
      <c r="AC35" s="36">
        <v>0.125</v>
      </c>
    </row>
    <row r="36" spans="2:40" ht="15.95" customHeight="1" x14ac:dyDescent="0.25">
      <c r="B36" s="26"/>
      <c r="C36" s="168" t="s">
        <v>146</v>
      </c>
      <c r="D36" s="206" t="e">
        <f>G24</f>
        <v>#DIV/0!</v>
      </c>
      <c r="E36" s="381"/>
      <c r="F36" s="170" t="s">
        <v>92</v>
      </c>
      <c r="G36" s="207" t="e">
        <f>G35/I35</f>
        <v>#DIV/0!</v>
      </c>
      <c r="H36" s="204" t="s">
        <v>153</v>
      </c>
      <c r="I36" s="67">
        <v>0</v>
      </c>
      <c r="J36" s="381"/>
      <c r="K36" s="170" t="s">
        <v>102</v>
      </c>
      <c r="L36" s="207" t="e">
        <f>L35/N35</f>
        <v>#DIV/0!</v>
      </c>
      <c r="M36" s="72"/>
      <c r="N36" s="203"/>
      <c r="P36" s="372"/>
      <c r="Q36" s="37" t="s">
        <v>155</v>
      </c>
      <c r="R36" s="29">
        <v>4.8000000000000001E-2</v>
      </c>
      <c r="S36" s="29">
        <v>4.9000000000000002E-2</v>
      </c>
      <c r="T36" s="29">
        <v>0.05</v>
      </c>
      <c r="U36" s="29">
        <v>0.05</v>
      </c>
      <c r="V36" s="29">
        <v>0.05</v>
      </c>
      <c r="W36" s="29">
        <v>0.05</v>
      </c>
      <c r="X36" s="29">
        <v>4.9000000000000002E-2</v>
      </c>
      <c r="Y36" s="29">
        <v>4.8000000000000001E-2</v>
      </c>
      <c r="Z36" s="29">
        <v>4.8000000000000001E-2</v>
      </c>
      <c r="AA36" s="29">
        <v>4.7E-2</v>
      </c>
      <c r="AB36" s="29">
        <v>4.5999999999999999E-2</v>
      </c>
      <c r="AC36" s="36">
        <v>3.6999999999999998E-2</v>
      </c>
    </row>
    <row r="37" spans="2:40" ht="15.95" customHeight="1" x14ac:dyDescent="0.25">
      <c r="B37" s="26"/>
      <c r="C37" s="168" t="s">
        <v>86</v>
      </c>
      <c r="D37" s="207" t="e">
        <f>(D36*D35*D35)/2</f>
        <v>#DIV/0!</v>
      </c>
      <c r="E37" s="381"/>
      <c r="F37" s="170" t="s">
        <v>91</v>
      </c>
      <c r="G37" s="207" t="e">
        <f>IF((G36&lt;0.5),D37,(I36*I35*I35*D36))</f>
        <v>#DIV/0!</v>
      </c>
      <c r="H37" s="72"/>
      <c r="I37" s="72"/>
      <c r="J37" s="381"/>
      <c r="K37" s="204" t="s">
        <v>154</v>
      </c>
      <c r="L37" s="67">
        <v>0</v>
      </c>
      <c r="M37" s="204" t="s">
        <v>155</v>
      </c>
      <c r="N37" s="141">
        <v>0</v>
      </c>
      <c r="P37" s="403" t="s">
        <v>97</v>
      </c>
      <c r="Q37" s="379" t="s">
        <v>156</v>
      </c>
      <c r="R37" s="377" t="s">
        <v>99</v>
      </c>
      <c r="S37" s="377"/>
      <c r="T37" s="377"/>
      <c r="U37" s="377"/>
      <c r="V37" s="377"/>
      <c r="W37" s="377"/>
      <c r="X37" s="377"/>
      <c r="Y37" s="377"/>
      <c r="Z37" s="377"/>
      <c r="AA37" s="377"/>
      <c r="AB37" s="377"/>
      <c r="AC37" s="378"/>
    </row>
    <row r="38" spans="2:40" ht="15.95" customHeight="1" x14ac:dyDescent="0.25">
      <c r="C38" s="380"/>
      <c r="D38" s="381"/>
      <c r="E38" s="381"/>
      <c r="F38" s="381"/>
      <c r="G38" s="381"/>
      <c r="H38" s="381"/>
      <c r="I38" s="381"/>
      <c r="J38" s="381"/>
      <c r="K38" s="205" t="s">
        <v>89</v>
      </c>
      <c r="L38" s="207" t="e">
        <f>L37*D36*(MIN(N35,L35))*(MIN(N35,L35))</f>
        <v>#DIV/0!</v>
      </c>
      <c r="M38" s="205" t="s">
        <v>90</v>
      </c>
      <c r="N38" s="208" t="e">
        <f>N37*D36*(MIN(N35,L35))*(MIN(N35,L35))</f>
        <v>#DIV/0!</v>
      </c>
      <c r="O38" s="26"/>
      <c r="P38" s="403"/>
      <c r="Q38" s="379"/>
      <c r="R38" s="29">
        <v>0.5</v>
      </c>
      <c r="S38" s="29">
        <v>0.6</v>
      </c>
      <c r="T38" s="29">
        <v>0.7</v>
      </c>
      <c r="U38" s="29">
        <v>0.8</v>
      </c>
      <c r="V38" s="29">
        <v>0.9</v>
      </c>
      <c r="W38" s="29">
        <v>1</v>
      </c>
      <c r="X38" s="29">
        <v>1.2</v>
      </c>
      <c r="Y38" s="29">
        <v>1.4</v>
      </c>
      <c r="Z38" s="29">
        <v>2</v>
      </c>
      <c r="AA38" s="29" t="s">
        <v>96</v>
      </c>
      <c r="AB38" s="29"/>
      <c r="AC38" s="36"/>
    </row>
    <row r="39" spans="2:40" ht="15.95" customHeight="1" x14ac:dyDescent="0.25">
      <c r="C39" s="213" t="s">
        <v>100</v>
      </c>
      <c r="D39" s="67">
        <v>0</v>
      </c>
      <c r="E39" s="410" t="s">
        <v>157</v>
      </c>
      <c r="F39" s="410"/>
      <c r="G39" s="212" t="s">
        <v>146</v>
      </c>
      <c r="H39" s="206" t="e">
        <f>F12/(G17*I17)</f>
        <v>#DIV/0!</v>
      </c>
      <c r="I39" s="212" t="s">
        <v>80</v>
      </c>
      <c r="J39" s="210" t="e">
        <f>I24</f>
        <v>#DIV/0!</v>
      </c>
      <c r="K39" s="72"/>
      <c r="L39" s="72"/>
      <c r="M39" s="72"/>
      <c r="N39" s="203"/>
      <c r="O39" s="26"/>
      <c r="P39" s="403"/>
      <c r="Q39" s="379"/>
      <c r="R39" s="29">
        <v>0.06</v>
      </c>
      <c r="S39" s="29">
        <v>7.3999999999999996E-2</v>
      </c>
      <c r="T39" s="29">
        <v>8.7999999999999995E-2</v>
      </c>
      <c r="U39" s="29">
        <v>9.7000000000000003E-2</v>
      </c>
      <c r="V39" s="29">
        <v>0.107</v>
      </c>
      <c r="W39" s="29">
        <v>0.112</v>
      </c>
      <c r="X39" s="29">
        <v>0.12</v>
      </c>
      <c r="Y39" s="29">
        <v>0.126</v>
      </c>
      <c r="Z39" s="29">
        <v>0.13200000000000001</v>
      </c>
      <c r="AA39" s="29">
        <v>0.13300000000000001</v>
      </c>
      <c r="AB39" s="29"/>
      <c r="AC39" s="36"/>
    </row>
    <row r="40" spans="2:40" ht="15.95" customHeight="1" thickBot="1" x14ac:dyDescent="0.3">
      <c r="C40" s="351" t="s">
        <v>148</v>
      </c>
      <c r="D40" s="350"/>
      <c r="E40" s="350" t="e">
        <f>IF(H39&lt;=J39,"ok &gt;&gt;&gt;","error")</f>
        <v>#DIV/0!</v>
      </c>
      <c r="F40" s="350"/>
      <c r="G40" s="211" t="s">
        <v>101</v>
      </c>
      <c r="H40" s="209" t="e">
        <f>(2.11)*(SQRT(D39/D13))</f>
        <v>#DIV/0!</v>
      </c>
      <c r="I40" s="211" t="s">
        <v>108</v>
      </c>
      <c r="J40" s="140">
        <v>0</v>
      </c>
      <c r="K40" s="175"/>
      <c r="L40" s="175"/>
      <c r="M40" s="175"/>
      <c r="N40" s="176"/>
      <c r="O40" s="26"/>
      <c r="P40" s="392" t="s">
        <v>98</v>
      </c>
      <c r="Q40" s="393"/>
      <c r="R40" s="393"/>
      <c r="S40" s="393"/>
      <c r="T40" s="393"/>
      <c r="U40" s="393"/>
      <c r="V40" s="393"/>
      <c r="W40" s="393"/>
      <c r="X40" s="393"/>
      <c r="Y40" s="393"/>
      <c r="Z40" s="393"/>
      <c r="AA40" s="393"/>
      <c r="AB40" s="393"/>
      <c r="AC40" s="394"/>
    </row>
    <row r="41" spans="2:40" ht="15.95" customHeight="1" thickBot="1" x14ac:dyDescent="0.3">
      <c r="O41" s="26"/>
      <c r="P41" s="26"/>
    </row>
    <row r="42" spans="2:40" ht="15.95" customHeight="1" thickBot="1" x14ac:dyDescent="0.3">
      <c r="C42" s="422" t="s">
        <v>254</v>
      </c>
      <c r="D42" s="423"/>
      <c r="E42" s="423"/>
      <c r="F42" s="423"/>
      <c r="G42" s="423"/>
      <c r="H42" s="424"/>
      <c r="O42" s="63"/>
      <c r="P42" s="63"/>
      <c r="Q42" s="38"/>
      <c r="R42" s="38"/>
      <c r="S42" s="38"/>
      <c r="T42" s="38"/>
      <c r="U42" s="38"/>
      <c r="V42" s="38"/>
      <c r="W42" s="38"/>
      <c r="X42" s="38"/>
      <c r="Y42" s="38"/>
      <c r="Z42" s="38"/>
      <c r="AA42" s="38"/>
      <c r="AB42" s="38"/>
      <c r="AN42" s="6"/>
    </row>
    <row r="43" spans="2:40" ht="15.95" customHeight="1" thickBot="1" x14ac:dyDescent="0.3">
      <c r="C43" s="218" t="s">
        <v>158</v>
      </c>
      <c r="D43" s="143">
        <v>0</v>
      </c>
      <c r="E43" s="214" t="s">
        <v>159</v>
      </c>
      <c r="F43" s="143">
        <v>0</v>
      </c>
      <c r="G43" s="214" t="s">
        <v>160</v>
      </c>
      <c r="H43" s="145">
        <v>0</v>
      </c>
      <c r="J43" s="157"/>
      <c r="P43" s="395" t="s">
        <v>114</v>
      </c>
      <c r="Q43" s="396"/>
      <c r="R43" s="397" t="s">
        <v>115</v>
      </c>
      <c r="S43" s="398"/>
      <c r="T43" s="399" t="s">
        <v>116</v>
      </c>
      <c r="U43" s="398"/>
      <c r="V43" s="38"/>
      <c r="W43" s="38"/>
      <c r="X43" s="38"/>
      <c r="Y43" s="11"/>
      <c r="Z43" s="15" t="s">
        <v>127</v>
      </c>
      <c r="AA43" s="318" t="s">
        <v>128</v>
      </c>
      <c r="AB43" s="318"/>
      <c r="AC43" s="404" t="s">
        <v>134</v>
      </c>
      <c r="AD43" s="404"/>
      <c r="AN43" s="6"/>
    </row>
    <row r="44" spans="2:40" ht="15.95" customHeight="1" thickBot="1" x14ac:dyDescent="0.55000000000000004">
      <c r="C44" s="219" t="s">
        <v>283</v>
      </c>
      <c r="D44" s="67">
        <v>0</v>
      </c>
      <c r="E44" s="212" t="s">
        <v>161</v>
      </c>
      <c r="F44" s="48">
        <f>J40</f>
        <v>0</v>
      </c>
      <c r="G44" s="215" t="s">
        <v>30</v>
      </c>
      <c r="H44" s="141">
        <v>0</v>
      </c>
      <c r="I44" s="416" t="s">
        <v>255</v>
      </c>
      <c r="J44" s="417"/>
      <c r="K44" s="417"/>
      <c r="L44" s="417"/>
      <c r="M44" s="418"/>
      <c r="P44" s="364" t="s">
        <v>117</v>
      </c>
      <c r="Q44" s="365"/>
      <c r="R44" s="366">
        <v>0.3</v>
      </c>
      <c r="S44" s="367"/>
      <c r="T44" s="375" t="s">
        <v>118</v>
      </c>
      <c r="U44" s="376"/>
      <c r="V44" s="443" t="s">
        <v>6</v>
      </c>
      <c r="W44" s="362" t="s">
        <v>126</v>
      </c>
      <c r="X44" s="363"/>
      <c r="Y44" s="11"/>
      <c r="Z44" s="16">
        <v>4200</v>
      </c>
      <c r="AA44" s="319" t="s">
        <v>129</v>
      </c>
      <c r="AB44" s="319"/>
      <c r="AC44" s="404" t="s">
        <v>135</v>
      </c>
      <c r="AD44" s="404"/>
      <c r="AN44" s="6"/>
    </row>
    <row r="45" spans="2:40" ht="15.95" customHeight="1" x14ac:dyDescent="0.5">
      <c r="C45" s="219" t="s">
        <v>111</v>
      </c>
      <c r="D45" s="67">
        <v>0</v>
      </c>
      <c r="E45" s="217" t="s">
        <v>132</v>
      </c>
      <c r="F45" s="67">
        <v>0</v>
      </c>
      <c r="G45" s="216" t="s">
        <v>133</v>
      </c>
      <c r="H45" s="141">
        <v>0</v>
      </c>
      <c r="I45" s="218" t="s">
        <v>125</v>
      </c>
      <c r="J45" s="30" t="e">
        <f>((F47)*M45)/F46</f>
        <v>#DIV/0!</v>
      </c>
      <c r="K45" s="225"/>
      <c r="L45" s="214" t="s">
        <v>192</v>
      </c>
      <c r="M45" s="69" t="e">
        <f>((D44*F44)*(D46-(F44/2)))</f>
        <v>#DIV/0!</v>
      </c>
      <c r="P45" s="356" t="s">
        <v>119</v>
      </c>
      <c r="Q45" s="357"/>
      <c r="R45" s="388">
        <v>0.5</v>
      </c>
      <c r="S45" s="389"/>
      <c r="T45" s="390" t="s">
        <v>120</v>
      </c>
      <c r="U45" s="391"/>
      <c r="V45" s="443"/>
      <c r="W45" s="58" t="s">
        <v>123</v>
      </c>
      <c r="X45" s="57" t="s">
        <v>124</v>
      </c>
      <c r="Y45" s="11"/>
      <c r="Z45" s="16">
        <v>4900</v>
      </c>
      <c r="AA45" s="319" t="s">
        <v>130</v>
      </c>
      <c r="AB45" s="319"/>
      <c r="AC45" s="404"/>
      <c r="AD45" s="404"/>
      <c r="AK45" s="11"/>
      <c r="AL45" s="11"/>
      <c r="AM45" s="11"/>
      <c r="AN45" s="11"/>
    </row>
    <row r="46" spans="2:40" ht="15.95" customHeight="1" thickBot="1" x14ac:dyDescent="0.55000000000000004">
      <c r="C46" s="219" t="s">
        <v>181</v>
      </c>
      <c r="D46" s="48" t="e">
        <f>((D43*F43*H43*(F44+(F43/2)))+(D44*F44*(F44/2)))/((D44*F44)+(D43*F43*H43))</f>
        <v>#DIV/0!</v>
      </c>
      <c r="E46" s="212" t="s">
        <v>109</v>
      </c>
      <c r="F46" s="48" t="e">
        <f>(((D44*F44*F44*F44)/12)+((D44*F44)*(D46-(F44/2))*(D46-(F44/2))))+(D43*(((H43*F43*F43*F43)/12)+((F43*H43)*(((F43/2)+F44)-D46)*(((F43/2)+F44)-D46))))</f>
        <v>#DIV/0!</v>
      </c>
      <c r="G46" s="212" t="s">
        <v>112</v>
      </c>
      <c r="H46" s="50" t="e">
        <f>((D44*F44)*(ABS((D46-(F44/2)))))+(D43*((ABS((F43+F44)-D46))*H43)*((ABS((F43+F44)-D46)/2)))+(D43*(ABS((D46-F44))*H43)*(ABS((D46-F44)/2)))</f>
        <v>#DIV/0!</v>
      </c>
      <c r="I46" s="164"/>
      <c r="J46" s="220" t="s">
        <v>163</v>
      </c>
      <c r="K46" s="65" t="str">
        <f>(ROUND(0.75*0.6*H45*0.707*F45,2))&amp;"a"</f>
        <v>0a</v>
      </c>
      <c r="L46" s="220" t="s">
        <v>189</v>
      </c>
      <c r="M46" s="203"/>
      <c r="P46" s="358"/>
      <c r="Q46" s="359"/>
      <c r="R46" s="388">
        <v>0.6</v>
      </c>
      <c r="S46" s="389"/>
      <c r="T46" s="390" t="s">
        <v>121</v>
      </c>
      <c r="U46" s="391"/>
      <c r="V46" s="443"/>
      <c r="W46" s="13">
        <f>IF((V47&lt;=0.6),0.3,(IF((V47&gt;0.6)*AND(V47&lt;=1.2),0.5,(IF((1.2&lt;V47)*AND(V47&lt;=2),0.6,(IF((V47&gt;2),0.8,"error")))))))</f>
        <v>0.3</v>
      </c>
      <c r="X46" s="39">
        <f>IF(V47&lt;=0.6,V47,(V47-0.2))</f>
        <v>0</v>
      </c>
      <c r="Y46" s="11"/>
      <c r="Z46" s="16">
        <v>4900</v>
      </c>
      <c r="AA46" s="319" t="s">
        <v>130</v>
      </c>
      <c r="AB46" s="319"/>
      <c r="AC46" s="404" t="s">
        <v>136</v>
      </c>
      <c r="AD46" s="404"/>
      <c r="AK46" s="11"/>
      <c r="AL46" s="11"/>
      <c r="AM46" s="11"/>
      <c r="AN46" s="11"/>
    </row>
    <row r="47" spans="2:40" ht="15.95" customHeight="1" thickBot="1" x14ac:dyDescent="0.55000000000000004">
      <c r="C47" s="219" t="s">
        <v>110</v>
      </c>
      <c r="D47" s="59" t="e">
        <f>(H39*D44*D45*D45)/2</f>
        <v>#DIV/0!</v>
      </c>
      <c r="E47" s="212" t="s">
        <v>113</v>
      </c>
      <c r="F47" s="68" t="e">
        <f>(H39*D44*D45)</f>
        <v>#DIV/0!</v>
      </c>
      <c r="G47" s="72"/>
      <c r="H47" s="203"/>
      <c r="I47" s="165"/>
      <c r="J47" s="425" t="s">
        <v>193</v>
      </c>
      <c r="K47" s="425"/>
      <c r="L47" s="70" t="e">
        <f>J45/(0.75*0.6*H45*0.707*F45)</f>
        <v>#DIV/0!</v>
      </c>
      <c r="M47" s="176"/>
      <c r="P47" s="360"/>
      <c r="Q47" s="361"/>
      <c r="R47" s="352">
        <v>0.8</v>
      </c>
      <c r="S47" s="353"/>
      <c r="T47" s="354" t="s">
        <v>122</v>
      </c>
      <c r="U47" s="355"/>
      <c r="V47" s="56">
        <f>IF((H43)&lt;=F44,H43,F44)</f>
        <v>0</v>
      </c>
      <c r="X47" s="56"/>
      <c r="Y47" s="6"/>
      <c r="Z47" s="16">
        <v>4900</v>
      </c>
      <c r="AA47" s="319" t="s">
        <v>130</v>
      </c>
      <c r="AB47" s="319"/>
      <c r="AC47" s="404" t="s">
        <v>137</v>
      </c>
      <c r="AD47" s="404"/>
    </row>
    <row r="48" spans="2:40" ht="15.95" customHeight="1" thickBot="1" x14ac:dyDescent="0.55000000000000004">
      <c r="C48" s="221" t="s">
        <v>190</v>
      </c>
      <c r="D48" s="410" t="s">
        <v>162</v>
      </c>
      <c r="E48" s="410"/>
      <c r="F48" s="212" t="e">
        <f>IF(((H14*H46*D13)&lt;(D47)),"error","ok")</f>
        <v>#DIV/0!</v>
      </c>
      <c r="G48" s="72"/>
      <c r="H48" s="203"/>
      <c r="T48" s="38"/>
      <c r="U48" s="38"/>
      <c r="V48" s="38"/>
      <c r="W48" s="38"/>
      <c r="X48" s="38"/>
      <c r="Y48" s="38"/>
      <c r="Z48" s="17">
        <v>5600</v>
      </c>
      <c r="AA48" s="317" t="s">
        <v>131</v>
      </c>
      <c r="AB48" s="317"/>
      <c r="AC48" s="404" t="s">
        <v>138</v>
      </c>
      <c r="AD48" s="404"/>
    </row>
    <row r="49" spans="3:40" ht="15.95" customHeight="1" thickTop="1" thickBot="1" x14ac:dyDescent="0.3">
      <c r="C49" s="222" t="s">
        <v>191</v>
      </c>
      <c r="D49" s="350" t="s">
        <v>188</v>
      </c>
      <c r="E49" s="350"/>
      <c r="F49" s="211" t="e">
        <f>IF(((H44*0.6*D13*((F44+F43)*((D43*H43)+D44)))&lt;(F47)),"error","ok")</f>
        <v>#DIV/0!</v>
      </c>
      <c r="G49" s="223"/>
      <c r="H49" s="224"/>
      <c r="T49" s="38"/>
      <c r="U49" s="38"/>
      <c r="V49" s="38"/>
      <c r="W49" s="38"/>
      <c r="X49" s="38"/>
      <c r="Y49" s="38"/>
      <c r="Z49" s="38"/>
      <c r="AA49" s="38"/>
      <c r="AB49" s="38"/>
    </row>
    <row r="50" spans="3:40" ht="15.95" customHeight="1" x14ac:dyDescent="0.25">
      <c r="Q50" s="38"/>
      <c r="R50" s="38"/>
      <c r="S50" s="38"/>
      <c r="V50" s="38"/>
      <c r="W50" s="38"/>
      <c r="X50" s="38"/>
      <c r="Y50" s="38"/>
      <c r="Z50" s="38"/>
      <c r="AA50" s="38"/>
      <c r="AB50" s="38"/>
    </row>
    <row r="51" spans="3:40" ht="15.95" customHeight="1" x14ac:dyDescent="0.25">
      <c r="Q51" s="38"/>
      <c r="R51" s="38"/>
      <c r="S51" s="38"/>
      <c r="V51" s="38"/>
      <c r="W51" s="38"/>
      <c r="X51" s="38"/>
      <c r="Y51" s="38"/>
      <c r="Z51" s="38"/>
      <c r="AA51" s="38"/>
      <c r="AB51" s="38"/>
    </row>
    <row r="52" spans="3:40" ht="15.95" customHeight="1" thickBot="1" x14ac:dyDescent="0.3">
      <c r="N52" s="26"/>
      <c r="O52" s="26"/>
      <c r="P52" s="26"/>
      <c r="Q52" s="38"/>
      <c r="R52" s="38"/>
      <c r="S52" s="38"/>
      <c r="V52" s="38"/>
      <c r="W52" s="38"/>
      <c r="X52" s="38"/>
      <c r="Y52" s="38"/>
      <c r="Z52" s="38"/>
      <c r="AA52" s="38"/>
      <c r="AB52" s="38"/>
      <c r="AN52" s="6"/>
    </row>
    <row r="53" spans="3:40" ht="15.95" customHeight="1" thickBot="1" x14ac:dyDescent="0.3">
      <c r="C53" s="426" t="s">
        <v>256</v>
      </c>
      <c r="D53" s="427"/>
      <c r="E53" s="427"/>
      <c r="F53" s="427"/>
      <c r="G53" s="427"/>
      <c r="H53" s="427"/>
      <c r="I53" s="427"/>
      <c r="J53" s="427"/>
      <c r="K53" s="427"/>
      <c r="L53" s="427"/>
      <c r="M53" s="427"/>
      <c r="N53" s="428"/>
      <c r="T53" s="40"/>
      <c r="AC53" s="38"/>
      <c r="AD53" s="38"/>
    </row>
    <row r="54" spans="3:40" ht="15.95" customHeight="1" x14ac:dyDescent="0.25">
      <c r="C54" s="178" t="s">
        <v>164</v>
      </c>
      <c r="D54" s="161">
        <v>0</v>
      </c>
      <c r="E54" s="227" t="s">
        <v>165</v>
      </c>
      <c r="F54" s="161">
        <v>0</v>
      </c>
      <c r="G54" s="227" t="s">
        <v>168</v>
      </c>
      <c r="H54" s="161">
        <v>0</v>
      </c>
      <c r="I54" s="231" t="s">
        <v>182</v>
      </c>
      <c r="J54" s="161">
        <v>0</v>
      </c>
      <c r="K54" s="233" t="s">
        <v>27</v>
      </c>
      <c r="L54" s="161">
        <v>0</v>
      </c>
      <c r="M54" s="234" t="s">
        <v>167</v>
      </c>
      <c r="N54" s="162">
        <v>0</v>
      </c>
      <c r="AM54" s="1"/>
      <c r="AN54"/>
    </row>
    <row r="55" spans="3:40" ht="15.95" customHeight="1" x14ac:dyDescent="0.25">
      <c r="C55" s="179" t="s">
        <v>166</v>
      </c>
      <c r="D55" s="67">
        <v>0</v>
      </c>
      <c r="E55" s="228" t="s">
        <v>2</v>
      </c>
      <c r="F55" s="67">
        <v>0</v>
      </c>
      <c r="G55" s="230" t="s">
        <v>26</v>
      </c>
      <c r="H55" s="67">
        <v>0</v>
      </c>
      <c r="I55" s="232" t="s">
        <v>32</v>
      </c>
      <c r="J55" s="67">
        <v>0</v>
      </c>
      <c r="K55" s="232" t="s">
        <v>33</v>
      </c>
      <c r="L55" s="67">
        <v>0</v>
      </c>
      <c r="M55" s="432"/>
      <c r="N55" s="433"/>
      <c r="AM55" s="1"/>
      <c r="AN55"/>
    </row>
    <row r="56" spans="3:40" ht="15.95" customHeight="1" thickBot="1" x14ac:dyDescent="0.3">
      <c r="C56" s="226" t="s">
        <v>11</v>
      </c>
      <c r="D56" s="79">
        <v>0.75</v>
      </c>
      <c r="E56" s="229" t="s">
        <v>11</v>
      </c>
      <c r="F56" s="140">
        <v>0</v>
      </c>
      <c r="G56" s="434"/>
      <c r="H56" s="435"/>
      <c r="I56" s="435"/>
      <c r="J56" s="435"/>
      <c r="K56" s="435"/>
      <c r="L56" s="435"/>
      <c r="M56" s="435"/>
      <c r="N56" s="436"/>
      <c r="AM56" s="1"/>
      <c r="AN56"/>
    </row>
    <row r="57" spans="3:40" ht="15.95" customHeight="1" thickBot="1" x14ac:dyDescent="0.3">
      <c r="C57" s="429"/>
      <c r="D57" s="430"/>
      <c r="E57" s="430"/>
      <c r="F57" s="430"/>
      <c r="G57" s="430"/>
      <c r="H57" s="430"/>
      <c r="I57" s="430"/>
      <c r="J57" s="430"/>
      <c r="K57" s="430"/>
      <c r="L57" s="430"/>
      <c r="M57" s="430"/>
      <c r="N57" s="431"/>
      <c r="AM57" s="1"/>
      <c r="AN57"/>
    </row>
    <row r="58" spans="3:40" ht="15.95" customHeight="1" x14ac:dyDescent="0.25">
      <c r="C58" s="455"/>
      <c r="D58" s="437"/>
      <c r="E58" s="438"/>
      <c r="F58" s="214" t="s">
        <v>169</v>
      </c>
      <c r="G58" s="177" t="e">
        <f>D54/F55</f>
        <v>#DIV/0!</v>
      </c>
      <c r="H58" s="214" t="s">
        <v>171</v>
      </c>
      <c r="I58" s="177" t="e">
        <f>D55/F55</f>
        <v>#DIV/0!</v>
      </c>
      <c r="J58" s="214" t="s">
        <v>170</v>
      </c>
      <c r="K58" s="177">
        <f>(3.14*L54*L54)/4</f>
        <v>0</v>
      </c>
      <c r="L58" s="188"/>
      <c r="M58" s="458"/>
      <c r="N58" s="459"/>
      <c r="AM58" s="1"/>
      <c r="AN58"/>
    </row>
    <row r="59" spans="3:40" ht="15.95" customHeight="1" x14ac:dyDescent="0.25">
      <c r="C59" s="456"/>
      <c r="D59" s="346" t="s">
        <v>62</v>
      </c>
      <c r="E59" s="346"/>
      <c r="F59" s="346"/>
      <c r="G59" s="346"/>
      <c r="H59" s="72"/>
      <c r="I59" s="346" t="s">
        <v>61</v>
      </c>
      <c r="J59" s="346"/>
      <c r="K59" s="346"/>
      <c r="L59" s="346"/>
      <c r="M59" s="460"/>
      <c r="N59" s="461"/>
      <c r="AM59" s="1"/>
      <c r="AN59"/>
    </row>
    <row r="60" spans="3:40" ht="15.95" customHeight="1" x14ac:dyDescent="0.25">
      <c r="C60" s="456"/>
      <c r="D60" s="347" t="s">
        <v>44</v>
      </c>
      <c r="E60" s="347"/>
      <c r="F60" s="347"/>
      <c r="G60" s="235">
        <f>K58*D56*H54</f>
        <v>0</v>
      </c>
      <c r="H60" s="72"/>
      <c r="I60" s="347" t="s">
        <v>45</v>
      </c>
      <c r="J60" s="347"/>
      <c r="K60" s="347"/>
      <c r="L60" s="235">
        <f>J55*L55*1.13*N54*F56*(0.55*K58*H55)</f>
        <v>0</v>
      </c>
      <c r="M60" s="460"/>
      <c r="N60" s="461"/>
    </row>
    <row r="61" spans="3:40" ht="15.95" customHeight="1" x14ac:dyDescent="0.25">
      <c r="C61" s="456"/>
      <c r="D61" s="348" t="s">
        <v>172</v>
      </c>
      <c r="E61" s="348"/>
      <c r="F61" s="59" t="s">
        <v>8</v>
      </c>
      <c r="G61" s="238" t="e">
        <f>IF(((I58)&lt;=(G60)),"ok","error")</f>
        <v>#DIV/0!</v>
      </c>
      <c r="H61" s="73"/>
      <c r="I61" s="348" t="s">
        <v>172</v>
      </c>
      <c r="J61" s="348"/>
      <c r="K61" s="59" t="s">
        <v>8</v>
      </c>
      <c r="L61" s="238" t="e">
        <f>IF(((I58)&lt;=(L60)),"ok","error")</f>
        <v>#DIV/0!</v>
      </c>
      <c r="M61" s="460"/>
      <c r="N61" s="461"/>
    </row>
    <row r="62" spans="3:40" ht="15.95" customHeight="1" x14ac:dyDescent="0.25">
      <c r="C62" s="456"/>
      <c r="D62" s="344" t="s">
        <v>50</v>
      </c>
      <c r="E62" s="344"/>
      <c r="F62" s="344"/>
      <c r="G62" s="235">
        <f>K58*F54*D56</f>
        <v>0</v>
      </c>
      <c r="H62" s="72"/>
      <c r="I62" s="344" t="s">
        <v>50</v>
      </c>
      <c r="J62" s="344"/>
      <c r="K62" s="344"/>
      <c r="L62" s="235">
        <f>K58*D56*F54</f>
        <v>0</v>
      </c>
      <c r="M62" s="460"/>
      <c r="N62" s="461"/>
      <c r="P62" s="43"/>
      <c r="Q62" s="2"/>
      <c r="R62" s="44"/>
    </row>
    <row r="63" spans="3:40" ht="15.95" customHeight="1" thickBot="1" x14ac:dyDescent="0.3">
      <c r="C63" s="456"/>
      <c r="D63" s="349" t="s">
        <v>173</v>
      </c>
      <c r="E63" s="349"/>
      <c r="F63" s="59" t="s">
        <v>8</v>
      </c>
      <c r="G63" s="238" t="e">
        <f>IF(((G58)&lt;=(G62)),"ok","error")</f>
        <v>#DIV/0!</v>
      </c>
      <c r="H63" s="73"/>
      <c r="I63" s="349" t="s">
        <v>173</v>
      </c>
      <c r="J63" s="349"/>
      <c r="K63" s="59" t="s">
        <v>8</v>
      </c>
      <c r="L63" s="238" t="e">
        <f>IF(((G58)&lt;=(L62)),"ok","error")</f>
        <v>#DIV/0!</v>
      </c>
      <c r="M63" s="460"/>
      <c r="N63" s="461"/>
    </row>
    <row r="64" spans="3:40" ht="15.95" customHeight="1" x14ac:dyDescent="0.25">
      <c r="C64" s="456"/>
      <c r="D64" s="343" t="s">
        <v>59</v>
      </c>
      <c r="E64" s="343"/>
      <c r="F64" s="343"/>
      <c r="G64" s="343"/>
      <c r="H64" s="72"/>
      <c r="I64" s="343" t="s">
        <v>60</v>
      </c>
      <c r="J64" s="343"/>
      <c r="K64" s="343"/>
      <c r="L64" s="343"/>
      <c r="M64" s="460"/>
      <c r="N64" s="461"/>
      <c r="P64" s="8" t="s">
        <v>12</v>
      </c>
      <c r="Q64" s="27" t="s">
        <v>48</v>
      </c>
      <c r="R64" s="9" t="s">
        <v>12</v>
      </c>
      <c r="S64" s="27" t="s">
        <v>13</v>
      </c>
      <c r="T64" s="9" t="s">
        <v>14</v>
      </c>
      <c r="U64" s="441" t="s">
        <v>15</v>
      </c>
      <c r="V64" s="441"/>
      <c r="W64" s="441"/>
      <c r="X64" s="441"/>
      <c r="Y64" s="442"/>
      <c r="AN64" s="4"/>
    </row>
    <row r="65" spans="1:40" ht="15.95" customHeight="1" x14ac:dyDescent="0.25">
      <c r="C65" s="456"/>
      <c r="D65" s="59" t="s">
        <v>174</v>
      </c>
      <c r="E65" s="166" t="e">
        <f>IF((H54*(1.3-((G58/K58)/(D56*F54))))&lt;=H54,(H54*(1.3-((G58/K58)/(D56*F54)))),H54)</f>
        <v>#DIV/0!</v>
      </c>
      <c r="F65" s="59" t="s">
        <v>175</v>
      </c>
      <c r="G65" s="166" t="e">
        <f>IF((F54*(1.3-((I58/K58)/(D56*H54))))&lt;=F54,(F54*(1.3-((I58/K58)/(D56*H54)))),F54)</f>
        <v>#DIV/0!</v>
      </c>
      <c r="H65" s="72"/>
      <c r="I65" s="59" t="s">
        <v>54</v>
      </c>
      <c r="J65" s="166" t="e">
        <f>1-((D54)/(1.13*F55*L65))</f>
        <v>#DIV/0!</v>
      </c>
      <c r="K65" s="59" t="s">
        <v>176</v>
      </c>
      <c r="L65" s="166">
        <f>0.55*K58*H55</f>
        <v>0</v>
      </c>
      <c r="M65" s="460"/>
      <c r="N65" s="461"/>
      <c r="P65" s="28">
        <f>0.75*H55</f>
        <v>0</v>
      </c>
      <c r="Q65" s="21" t="s">
        <v>49</v>
      </c>
      <c r="R65" s="29">
        <f>0.45*H55</f>
        <v>0</v>
      </c>
      <c r="S65" s="21" t="s">
        <v>46</v>
      </c>
      <c r="T65" s="21">
        <v>1</v>
      </c>
      <c r="U65" s="383" t="s">
        <v>17</v>
      </c>
      <c r="V65" s="383"/>
      <c r="W65" s="383"/>
      <c r="X65" s="383"/>
      <c r="Y65" s="384"/>
      <c r="AN65" s="4"/>
    </row>
    <row r="66" spans="1:40" ht="15.95" customHeight="1" x14ac:dyDescent="0.25">
      <c r="C66" s="456"/>
      <c r="D66" s="415" t="s">
        <v>51</v>
      </c>
      <c r="E66" s="415"/>
      <c r="F66" s="415"/>
      <c r="G66" s="235" t="e">
        <f>D56*E65*K58</f>
        <v>#DIV/0!</v>
      </c>
      <c r="H66" s="72"/>
      <c r="I66" s="415" t="s">
        <v>53</v>
      </c>
      <c r="J66" s="415"/>
      <c r="K66" s="415"/>
      <c r="L66" s="235" t="e">
        <f>J55*L55*1.13*N54*F56*L65*J65</f>
        <v>#DIV/0!</v>
      </c>
      <c r="M66" s="460"/>
      <c r="N66" s="461"/>
      <c r="P66" s="28">
        <f>0.75*H55</f>
        <v>0</v>
      </c>
      <c r="Q66" s="21" t="s">
        <v>49</v>
      </c>
      <c r="R66" s="29">
        <f>0.45*H55</f>
        <v>0</v>
      </c>
      <c r="S66" s="20" t="s">
        <v>46</v>
      </c>
      <c r="T66" s="20">
        <v>2</v>
      </c>
      <c r="U66" s="383" t="s">
        <v>19</v>
      </c>
      <c r="V66" s="383"/>
      <c r="W66" s="383"/>
      <c r="X66" s="383"/>
      <c r="Y66" s="384"/>
    </row>
    <row r="67" spans="1:40" ht="15.95" customHeight="1" x14ac:dyDescent="0.25">
      <c r="C67" s="456"/>
      <c r="D67" s="445" t="s">
        <v>177</v>
      </c>
      <c r="E67" s="445"/>
      <c r="F67" s="59" t="s">
        <v>8</v>
      </c>
      <c r="G67" s="238" t="e">
        <f>IF(((I58)&lt;=(G66)),"ok","error")</f>
        <v>#DIV/0!</v>
      </c>
      <c r="H67" s="73"/>
      <c r="I67" s="445" t="s">
        <v>172</v>
      </c>
      <c r="J67" s="445"/>
      <c r="K67" s="59" t="s">
        <v>8</v>
      </c>
      <c r="L67" s="238" t="e">
        <f>IF(((I58)&lt;=(L66)),"ok","error")</f>
        <v>#DIV/0!</v>
      </c>
      <c r="M67" s="460"/>
      <c r="N67" s="461"/>
      <c r="P67" s="28">
        <f>0.75*H55</f>
        <v>0</v>
      </c>
      <c r="Q67" s="21" t="s">
        <v>49</v>
      </c>
      <c r="R67" s="29">
        <f>0.55*H55</f>
        <v>0</v>
      </c>
      <c r="S67" s="20" t="s">
        <v>47</v>
      </c>
      <c r="T67" s="20">
        <v>3</v>
      </c>
      <c r="U67" s="383" t="s">
        <v>21</v>
      </c>
      <c r="V67" s="383"/>
      <c r="W67" s="383"/>
      <c r="X67" s="383"/>
      <c r="Y67" s="384"/>
    </row>
    <row r="68" spans="1:40" ht="15.95" customHeight="1" x14ac:dyDescent="0.25">
      <c r="C68" s="456"/>
      <c r="D68" s="447" t="s">
        <v>52</v>
      </c>
      <c r="E68" s="447"/>
      <c r="F68" s="447"/>
      <c r="G68" s="235" t="e">
        <f>D56*G65*K58</f>
        <v>#DIV/0!</v>
      </c>
      <c r="H68" s="72"/>
      <c r="I68" s="447" t="s">
        <v>50</v>
      </c>
      <c r="J68" s="447"/>
      <c r="K68" s="447"/>
      <c r="L68" s="235">
        <f>K58*D56*F54</f>
        <v>0</v>
      </c>
      <c r="M68" s="460"/>
      <c r="N68" s="461"/>
      <c r="P68" s="28">
        <f>0.75*H55</f>
        <v>0</v>
      </c>
      <c r="Q68" s="21" t="s">
        <v>49</v>
      </c>
      <c r="R68" s="29">
        <f>0.45*H55</f>
        <v>0</v>
      </c>
      <c r="S68" s="20" t="s">
        <v>46</v>
      </c>
      <c r="T68" s="20">
        <v>4</v>
      </c>
      <c r="U68" s="383" t="s">
        <v>23</v>
      </c>
      <c r="V68" s="383"/>
      <c r="W68" s="383"/>
      <c r="X68" s="383"/>
      <c r="Y68" s="384"/>
    </row>
    <row r="69" spans="1:40" ht="15.95" customHeight="1" thickBot="1" x14ac:dyDescent="0.3">
      <c r="C69" s="456"/>
      <c r="D69" s="446" t="s">
        <v>173</v>
      </c>
      <c r="E69" s="446"/>
      <c r="F69" s="59" t="s">
        <v>8</v>
      </c>
      <c r="G69" s="238" t="e">
        <f>IF(((G58)&lt;=(G68)),"ok","error")</f>
        <v>#DIV/0!</v>
      </c>
      <c r="H69" s="73"/>
      <c r="I69" s="446" t="s">
        <v>173</v>
      </c>
      <c r="J69" s="446"/>
      <c r="K69" s="59" t="s">
        <v>8</v>
      </c>
      <c r="L69" s="238" t="e">
        <f>IF(((G58)&lt;=(L68)),"ok","error")</f>
        <v>#DIV/0!</v>
      </c>
      <c r="M69" s="460"/>
      <c r="N69" s="461"/>
      <c r="P69" s="31">
        <f>0.75*H55</f>
        <v>0</v>
      </c>
      <c r="Q69" s="23" t="s">
        <v>49</v>
      </c>
      <c r="R69" s="32">
        <f>0.55*H55</f>
        <v>0</v>
      </c>
      <c r="S69" s="22" t="s">
        <v>47</v>
      </c>
      <c r="T69" s="22">
        <v>5</v>
      </c>
      <c r="U69" s="439" t="s">
        <v>25</v>
      </c>
      <c r="V69" s="439"/>
      <c r="W69" s="439"/>
      <c r="X69" s="439"/>
      <c r="Y69" s="440"/>
    </row>
    <row r="70" spans="1:40" ht="15.95" customHeight="1" x14ac:dyDescent="0.25">
      <c r="C70" s="456"/>
      <c r="D70" s="343" t="s">
        <v>198</v>
      </c>
      <c r="E70" s="343"/>
      <c r="F70" s="343"/>
      <c r="G70" s="343"/>
      <c r="H70" s="343"/>
      <c r="I70" s="343"/>
      <c r="J70" s="343"/>
      <c r="K70" s="343"/>
      <c r="L70" s="343"/>
      <c r="M70" s="460"/>
      <c r="N70" s="461"/>
    </row>
    <row r="71" spans="1:40" ht="15.95" customHeight="1" x14ac:dyDescent="0.25">
      <c r="C71" s="456"/>
      <c r="D71" s="451" t="s">
        <v>57</v>
      </c>
      <c r="E71" s="451"/>
      <c r="F71" s="449" t="s">
        <v>55</v>
      </c>
      <c r="G71" s="449"/>
      <c r="H71" s="287">
        <f>D56*2.4*D14*L54*J54</f>
        <v>0</v>
      </c>
      <c r="I71" s="320" t="s">
        <v>172</v>
      </c>
      <c r="J71" s="320"/>
      <c r="K71" s="59" t="s">
        <v>8</v>
      </c>
      <c r="L71" s="59" t="e">
        <f>IF(((I58)&lt;=(H71)),"ok","error")</f>
        <v>#DIV/0!</v>
      </c>
      <c r="M71" s="460"/>
      <c r="N71" s="461"/>
    </row>
    <row r="72" spans="1:40" ht="15.95" customHeight="1" thickBot="1" x14ac:dyDescent="0.3">
      <c r="C72" s="457"/>
      <c r="D72" s="345" t="s">
        <v>58</v>
      </c>
      <c r="E72" s="345"/>
      <c r="F72" s="450" t="s">
        <v>56</v>
      </c>
      <c r="G72" s="450"/>
      <c r="H72" s="288">
        <f>J54*2*D14*D56*L54</f>
        <v>0</v>
      </c>
      <c r="I72" s="448" t="s">
        <v>172</v>
      </c>
      <c r="J72" s="448"/>
      <c r="K72" s="22" t="s">
        <v>8</v>
      </c>
      <c r="L72" s="22" t="e">
        <f>IF(((I58)&lt;=(H72)),"ok","error")</f>
        <v>#DIV/0!</v>
      </c>
      <c r="M72" s="462"/>
      <c r="N72" s="463"/>
    </row>
    <row r="73" spans="1:40" ht="15.95" customHeight="1" thickBot="1" x14ac:dyDescent="0.3">
      <c r="C73" s="452" t="s">
        <v>276</v>
      </c>
      <c r="D73" s="453"/>
      <c r="E73" s="453"/>
      <c r="F73" s="453"/>
      <c r="G73" s="453"/>
      <c r="H73" s="453"/>
      <c r="I73" s="453"/>
      <c r="J73" s="453"/>
      <c r="K73" s="453"/>
      <c r="L73" s="453"/>
      <c r="M73" s="453"/>
      <c r="N73" s="454"/>
    </row>
    <row r="74" spans="1:40" ht="15.95" customHeight="1" x14ac:dyDescent="0.25">
      <c r="C74" s="289" t="s">
        <v>27</v>
      </c>
      <c r="D74" s="161">
        <v>0</v>
      </c>
      <c r="E74" s="290" t="s">
        <v>5</v>
      </c>
      <c r="F74" s="149">
        <v>0</v>
      </c>
      <c r="G74" s="290" t="s">
        <v>81</v>
      </c>
      <c r="H74" s="149">
        <v>0</v>
      </c>
      <c r="I74" s="291" t="s">
        <v>195</v>
      </c>
      <c r="J74" s="149">
        <v>0</v>
      </c>
      <c r="K74" s="30" t="s">
        <v>83</v>
      </c>
      <c r="L74" s="161">
        <v>0</v>
      </c>
      <c r="M74" s="30" t="s">
        <v>84</v>
      </c>
      <c r="N74" s="162">
        <v>0</v>
      </c>
    </row>
    <row r="75" spans="1:40" ht="15.95" customHeight="1" x14ac:dyDescent="0.25">
      <c r="C75" s="330" t="s">
        <v>197</v>
      </c>
      <c r="D75" s="331"/>
      <c r="E75" s="331"/>
      <c r="F75" s="294" t="s">
        <v>196</v>
      </c>
      <c r="G75" s="444" t="s">
        <v>183</v>
      </c>
      <c r="H75" s="444"/>
      <c r="I75" s="295" t="e">
        <f>0.25*N74*L74*F74*H74*D74*(J74/(SQRT(D12)))</f>
        <v>#DIV/0!</v>
      </c>
      <c r="J75" s="444" t="s">
        <v>184</v>
      </c>
      <c r="K75" s="444"/>
      <c r="L75" s="297" t="e">
        <f>(MAX(20,(0.04*J74*D74),((0.25*D74*J74)/(SQRT(D12)))))</f>
        <v>#DIV/0!</v>
      </c>
      <c r="M75" s="48" t="s">
        <v>178</v>
      </c>
      <c r="N75" s="296" t="e">
        <f>0.75*L75</f>
        <v>#DIV/0!</v>
      </c>
    </row>
    <row r="76" spans="1:40" ht="15.95" customHeight="1" x14ac:dyDescent="0.25">
      <c r="C76" s="292" t="s">
        <v>82</v>
      </c>
      <c r="D76" s="295">
        <f>12*D74</f>
        <v>0</v>
      </c>
      <c r="E76" s="326" t="s">
        <v>264</v>
      </c>
      <c r="F76" s="326"/>
      <c r="G76" s="237">
        <f>IF((D74&lt;=2.2),(D74+0.2),(D74+0.3))</f>
        <v>0.2</v>
      </c>
      <c r="H76" s="326" t="s">
        <v>265</v>
      </c>
      <c r="I76" s="326"/>
      <c r="J76" s="237">
        <f>IF((D74&lt;=2.1),(D74+0.4),(D74+0.6))</f>
        <v>0.4</v>
      </c>
      <c r="K76" s="158"/>
      <c r="L76" s="158"/>
      <c r="M76" s="158"/>
      <c r="N76" s="293"/>
    </row>
    <row r="77" spans="1:40" ht="15.95" customHeight="1" x14ac:dyDescent="0.25">
      <c r="A77" s="61"/>
      <c r="B77" s="61"/>
      <c r="C77" s="327" t="s">
        <v>267</v>
      </c>
      <c r="D77" s="328"/>
      <c r="E77" s="328"/>
      <c r="F77" s="237">
        <f>3*D74</f>
        <v>0</v>
      </c>
      <c r="G77" s="320" t="s">
        <v>270</v>
      </c>
      <c r="H77" s="329">
        <v>0</v>
      </c>
      <c r="I77" s="324" t="s">
        <v>271</v>
      </c>
      <c r="J77" s="324"/>
      <c r="K77" s="324"/>
      <c r="L77" s="237">
        <f>2*D74</f>
        <v>0</v>
      </c>
      <c r="M77" s="320" t="s">
        <v>270</v>
      </c>
      <c r="N77" s="321">
        <v>0</v>
      </c>
      <c r="O77" s="61"/>
      <c r="P77" s="61"/>
      <c r="Q77" s="61"/>
      <c r="R77" s="61"/>
      <c r="S77" s="61"/>
      <c r="T77" s="61"/>
      <c r="U77" s="61"/>
      <c r="V77" s="61"/>
      <c r="W77" s="61"/>
      <c r="X77" s="61"/>
      <c r="Y77" s="61"/>
      <c r="Z77" s="61"/>
      <c r="AA77" s="61"/>
      <c r="AB77" s="61"/>
      <c r="AC77" s="61"/>
      <c r="AD77" s="61"/>
      <c r="AE77" s="61"/>
      <c r="AF77" s="61"/>
      <c r="AG77" s="61"/>
      <c r="AH77" s="61"/>
      <c r="AI77" s="61"/>
      <c r="AJ77" s="61"/>
      <c r="AK77" s="14"/>
      <c r="AL77" s="14"/>
      <c r="AM77" s="14"/>
      <c r="AN77" s="14"/>
    </row>
    <row r="78" spans="1:40" ht="15.95" customHeight="1" x14ac:dyDescent="0.25">
      <c r="A78" s="61"/>
      <c r="B78" s="61"/>
      <c r="C78" s="327" t="s">
        <v>268</v>
      </c>
      <c r="D78" s="328"/>
      <c r="E78" s="328"/>
      <c r="F78" s="237">
        <f>MIN(30,(24*J54))</f>
        <v>0</v>
      </c>
      <c r="G78" s="320"/>
      <c r="H78" s="329"/>
      <c r="I78" s="324" t="s">
        <v>272</v>
      </c>
      <c r="J78" s="324"/>
      <c r="K78" s="324"/>
      <c r="L78" s="237">
        <f>(2*D74)+0.3</f>
        <v>0.3</v>
      </c>
      <c r="M78" s="320"/>
      <c r="N78" s="321"/>
      <c r="O78" s="61"/>
      <c r="P78" s="61"/>
      <c r="Q78" s="61"/>
      <c r="R78" s="61"/>
      <c r="S78" s="61"/>
      <c r="T78" s="61"/>
      <c r="U78" s="61"/>
      <c r="V78" s="61"/>
      <c r="W78" s="61"/>
      <c r="X78" s="61"/>
      <c r="Y78" s="61"/>
      <c r="Z78" s="61"/>
      <c r="AA78" s="61"/>
      <c r="AB78" s="61"/>
      <c r="AC78" s="61"/>
      <c r="AD78" s="61"/>
      <c r="AE78" s="61"/>
      <c r="AF78" s="61"/>
      <c r="AG78" s="61"/>
      <c r="AH78" s="61"/>
      <c r="AI78" s="61"/>
      <c r="AJ78" s="61"/>
      <c r="AK78" s="14"/>
      <c r="AL78" s="14"/>
      <c r="AM78" s="14"/>
      <c r="AN78" s="14"/>
    </row>
    <row r="79" spans="1:40" ht="15.95" customHeight="1" x14ac:dyDescent="0.25">
      <c r="A79" s="61"/>
      <c r="B79" s="61"/>
      <c r="C79" s="327" t="s">
        <v>269</v>
      </c>
      <c r="D79" s="328"/>
      <c r="E79" s="328"/>
      <c r="F79" s="237">
        <f>MIN(20,(14*J54))</f>
        <v>0</v>
      </c>
      <c r="G79" s="320"/>
      <c r="H79" s="329"/>
      <c r="I79" s="325" t="s">
        <v>273</v>
      </c>
      <c r="J79" s="325"/>
      <c r="K79" s="325"/>
      <c r="L79" s="237">
        <f>MIN(15,(12*J54))</f>
        <v>0</v>
      </c>
      <c r="M79" s="320"/>
      <c r="N79" s="321"/>
      <c r="O79" s="61"/>
      <c r="P79" s="61"/>
      <c r="Q79" s="61"/>
      <c r="R79" s="61"/>
      <c r="S79" s="61"/>
      <c r="T79" s="61"/>
      <c r="U79" s="61"/>
      <c r="V79" s="61"/>
      <c r="W79" s="61"/>
      <c r="X79" s="61"/>
      <c r="Y79" s="61"/>
      <c r="Z79" s="61"/>
      <c r="AA79" s="61"/>
      <c r="AB79" s="61"/>
      <c r="AC79" s="61"/>
      <c r="AD79" s="61"/>
      <c r="AE79" s="61"/>
      <c r="AF79" s="61"/>
      <c r="AG79" s="61"/>
      <c r="AH79" s="61"/>
      <c r="AI79" s="61"/>
      <c r="AJ79" s="61"/>
      <c r="AK79" s="14"/>
      <c r="AL79" s="14"/>
      <c r="AM79" s="14"/>
      <c r="AN79" s="14"/>
    </row>
    <row r="80" spans="1:40" ht="15.95" customHeight="1" x14ac:dyDescent="0.25">
      <c r="A80" s="61"/>
      <c r="B80" s="61"/>
      <c r="C80" s="292"/>
      <c r="D80" s="48"/>
      <c r="E80" s="158"/>
      <c r="F80" s="158"/>
      <c r="G80" s="158"/>
      <c r="H80" s="158"/>
      <c r="I80" s="325" t="s">
        <v>274</v>
      </c>
      <c r="J80" s="325"/>
      <c r="K80" s="325"/>
      <c r="L80" s="237">
        <f>MIN(12.5,(8*J54))</f>
        <v>0</v>
      </c>
      <c r="M80" s="298"/>
      <c r="N80" s="293"/>
      <c r="O80" s="61"/>
      <c r="P80" s="61"/>
      <c r="Q80" s="61"/>
      <c r="R80" s="61"/>
      <c r="S80" s="61"/>
      <c r="T80" s="61"/>
      <c r="U80" s="61"/>
      <c r="V80" s="61"/>
      <c r="W80" s="61"/>
      <c r="X80" s="61"/>
      <c r="Y80" s="61"/>
      <c r="Z80" s="61"/>
      <c r="AA80" s="61"/>
      <c r="AB80" s="61"/>
      <c r="AC80" s="61"/>
      <c r="AD80" s="61"/>
      <c r="AE80" s="61"/>
      <c r="AF80" s="61"/>
      <c r="AG80" s="61"/>
      <c r="AH80" s="61"/>
      <c r="AI80" s="61"/>
      <c r="AJ80" s="61"/>
      <c r="AK80" s="14"/>
      <c r="AL80" s="14"/>
      <c r="AM80" s="14"/>
      <c r="AN80" s="14"/>
    </row>
    <row r="81" spans="1:40" ht="15.95" customHeight="1" thickBot="1" x14ac:dyDescent="0.3">
      <c r="A81" s="61"/>
      <c r="B81" s="61"/>
      <c r="C81" s="322" t="s">
        <v>275</v>
      </c>
      <c r="D81" s="323"/>
      <c r="E81" s="323"/>
      <c r="F81" s="323"/>
      <c r="G81" s="323"/>
      <c r="H81" s="323"/>
      <c r="I81" s="79" t="s">
        <v>283</v>
      </c>
      <c r="J81" s="140">
        <v>0</v>
      </c>
      <c r="K81" s="299" t="s">
        <v>2</v>
      </c>
      <c r="L81" s="140">
        <v>0</v>
      </c>
      <c r="M81" s="159" t="s">
        <v>266</v>
      </c>
      <c r="N81" s="24" t="str">
        <f>IF(((2*N77)+((L81-1)*H77))&lt;=J81,"ok","error")</f>
        <v>ok</v>
      </c>
      <c r="O81" s="61"/>
      <c r="P81" s="61"/>
      <c r="Q81" s="61"/>
      <c r="R81" s="61"/>
      <c r="S81" s="61"/>
      <c r="T81" s="61"/>
      <c r="U81" s="61"/>
      <c r="V81" s="61"/>
      <c r="W81" s="61"/>
      <c r="X81" s="61"/>
      <c r="Y81" s="61"/>
      <c r="Z81" s="61"/>
      <c r="AA81" s="61"/>
      <c r="AB81" s="61"/>
      <c r="AC81" s="61"/>
      <c r="AD81" s="61"/>
      <c r="AE81" s="61"/>
      <c r="AF81" s="61"/>
      <c r="AG81" s="61"/>
      <c r="AH81" s="61"/>
      <c r="AI81" s="61"/>
      <c r="AJ81" s="61"/>
      <c r="AK81" s="14"/>
      <c r="AL81" s="14"/>
      <c r="AM81" s="14"/>
      <c r="AN81" s="14"/>
    </row>
    <row r="82" spans="1:40" ht="15.95" customHeight="1" x14ac:dyDescent="0.25">
      <c r="A82" s="61"/>
      <c r="B82" s="61"/>
      <c r="C82" s="136"/>
      <c r="D82" s="286"/>
      <c r="E82" s="64"/>
      <c r="F82" s="64"/>
      <c r="G82" s="64"/>
      <c r="H82" s="64"/>
      <c r="N82" s="64"/>
      <c r="O82" s="61"/>
      <c r="P82" s="61"/>
      <c r="Q82" s="61"/>
      <c r="R82" s="61"/>
      <c r="S82" s="61"/>
      <c r="T82" s="61"/>
      <c r="U82" s="61"/>
      <c r="V82" s="61"/>
      <c r="W82" s="61"/>
      <c r="X82" s="61"/>
      <c r="Y82" s="61"/>
      <c r="Z82" s="61"/>
      <c r="AA82" s="61"/>
      <c r="AB82" s="61"/>
      <c r="AC82" s="61"/>
      <c r="AD82" s="61"/>
      <c r="AE82" s="61"/>
      <c r="AF82" s="61"/>
      <c r="AG82" s="61"/>
      <c r="AH82" s="61"/>
      <c r="AI82" s="61"/>
      <c r="AJ82" s="61"/>
      <c r="AK82" s="14"/>
      <c r="AL82" s="14"/>
      <c r="AM82" s="14"/>
      <c r="AN82" s="14"/>
    </row>
    <row r="83" spans="1:40" ht="15.95" customHeight="1" x14ac:dyDescent="0.25">
      <c r="C83" s="61"/>
      <c r="D83" s="61"/>
      <c r="E83" s="61"/>
      <c r="K83" s="61"/>
      <c r="AH83" s="7"/>
      <c r="AI83" s="7"/>
      <c r="AJ83" s="7"/>
      <c r="AK83" s="1"/>
      <c r="AL83"/>
      <c r="AM83"/>
      <c r="AN83"/>
    </row>
    <row r="84" spans="1:40" ht="15.95" customHeight="1" x14ac:dyDescent="0.25">
      <c r="AH84" s="7"/>
      <c r="AI84" s="7"/>
      <c r="AJ84" s="7"/>
      <c r="AK84" s="1"/>
      <c r="AL84"/>
      <c r="AM84"/>
      <c r="AN84"/>
    </row>
    <row r="85" spans="1:40" ht="15.95" customHeight="1" x14ac:dyDescent="0.25">
      <c r="AH85" s="7"/>
      <c r="AI85" s="7"/>
      <c r="AJ85" s="7"/>
      <c r="AK85" s="1"/>
      <c r="AL85"/>
      <c r="AM85"/>
      <c r="AN85"/>
    </row>
    <row r="86" spans="1:40" ht="15.95" customHeight="1" x14ac:dyDescent="0.25">
      <c r="AH86" s="7"/>
      <c r="AI86" s="7"/>
      <c r="AJ86" s="7"/>
      <c r="AK86" s="1"/>
      <c r="AL86"/>
      <c r="AM86"/>
      <c r="AN86"/>
    </row>
    <row r="87" spans="1:40" ht="15.95" customHeight="1" x14ac:dyDescent="0.25">
      <c r="AH87" s="7"/>
      <c r="AI87" s="7"/>
      <c r="AJ87" s="7"/>
      <c r="AK87" s="1"/>
      <c r="AL87"/>
      <c r="AM87"/>
      <c r="AN87"/>
    </row>
    <row r="88" spans="1:40" x14ac:dyDescent="0.25">
      <c r="AH88" s="7"/>
      <c r="AI88" s="7"/>
      <c r="AJ88" s="7"/>
      <c r="AK88" s="1"/>
      <c r="AL88"/>
      <c r="AM88"/>
      <c r="AN88"/>
    </row>
    <row r="89" spans="1:40" x14ac:dyDescent="0.25">
      <c r="AH89" s="7"/>
      <c r="AI89" s="7"/>
      <c r="AJ89" s="7"/>
      <c r="AK89" s="1"/>
      <c r="AL89"/>
      <c r="AM89"/>
      <c r="AN89"/>
    </row>
    <row r="90" spans="1:40" ht="15.75" customHeight="1" x14ac:dyDescent="0.25">
      <c r="AH90" s="7"/>
      <c r="AI90" s="7"/>
      <c r="AJ90" s="7"/>
      <c r="AK90" s="1"/>
      <c r="AL90"/>
      <c r="AM90"/>
      <c r="AN90"/>
    </row>
    <row r="91" spans="1:40" x14ac:dyDescent="0.25">
      <c r="AH91" s="7"/>
      <c r="AI91" s="7"/>
      <c r="AJ91" s="7"/>
      <c r="AK91" s="1"/>
      <c r="AL91"/>
      <c r="AM91"/>
      <c r="AN91"/>
    </row>
    <row r="92" spans="1:40" x14ac:dyDescent="0.25">
      <c r="AH92" s="7"/>
      <c r="AI92" s="7"/>
      <c r="AJ92" s="7"/>
      <c r="AK92" s="1"/>
      <c r="AL92"/>
      <c r="AM92"/>
      <c r="AN92"/>
    </row>
    <row r="93" spans="1:40" x14ac:dyDescent="0.25">
      <c r="AH93" s="7"/>
      <c r="AI93" s="7"/>
      <c r="AJ93" s="7"/>
      <c r="AK93" s="1"/>
      <c r="AL93"/>
      <c r="AM93"/>
      <c r="AN93"/>
    </row>
  </sheetData>
  <sheetProtection algorithmName="SHA-512" hashValue="uGSXwQfuXJzDqum9ZZno1LXJCZmkU+G+9DWe7uokua2EURxPnmOngdvJoNn5m9RSJ7SnL1JqSDhWXAta6/sPOg==" saltValue="O+c/+7++nwe9Nl2YdyVfNA==" spinCount="100000" sheet="1" objects="1" scenarios="1"/>
  <mergeCells count="121">
    <mergeCell ref="U67:Y67"/>
    <mergeCell ref="U68:Y68"/>
    <mergeCell ref="U69:Y69"/>
    <mergeCell ref="U65:Y65"/>
    <mergeCell ref="U64:Y64"/>
    <mergeCell ref="V44:V46"/>
    <mergeCell ref="G75:H75"/>
    <mergeCell ref="J75:K75"/>
    <mergeCell ref="D67:E67"/>
    <mergeCell ref="D69:E69"/>
    <mergeCell ref="I66:K66"/>
    <mergeCell ref="I67:J67"/>
    <mergeCell ref="I68:K68"/>
    <mergeCell ref="I69:J69"/>
    <mergeCell ref="D70:L70"/>
    <mergeCell ref="I71:J71"/>
    <mergeCell ref="D68:F68"/>
    <mergeCell ref="I72:J72"/>
    <mergeCell ref="F71:G71"/>
    <mergeCell ref="F72:G72"/>
    <mergeCell ref="D71:E71"/>
    <mergeCell ref="C73:N73"/>
    <mergeCell ref="C58:C72"/>
    <mergeCell ref="M58:N72"/>
    <mergeCell ref="I61:J61"/>
    <mergeCell ref="I62:K62"/>
    <mergeCell ref="I63:J63"/>
    <mergeCell ref="D66:F66"/>
    <mergeCell ref="J34:J38"/>
    <mergeCell ref="I44:M44"/>
    <mergeCell ref="F34:I34"/>
    <mergeCell ref="K34:N34"/>
    <mergeCell ref="C42:H42"/>
    <mergeCell ref="J47:K47"/>
    <mergeCell ref="C53:N53"/>
    <mergeCell ref="D48:E48"/>
    <mergeCell ref="D49:E49"/>
    <mergeCell ref="C57:N57"/>
    <mergeCell ref="M55:N55"/>
    <mergeCell ref="G56:N56"/>
    <mergeCell ref="D58:E58"/>
    <mergeCell ref="U66:Y66"/>
    <mergeCell ref="D24:E24"/>
    <mergeCell ref="C20:H20"/>
    <mergeCell ref="R45:S45"/>
    <mergeCell ref="T45:U45"/>
    <mergeCell ref="R46:S46"/>
    <mergeCell ref="T46:U46"/>
    <mergeCell ref="P40:AC40"/>
    <mergeCell ref="P43:Q43"/>
    <mergeCell ref="R43:S43"/>
    <mergeCell ref="T43:U43"/>
    <mergeCell ref="D64:G64"/>
    <mergeCell ref="R33:AC33"/>
    <mergeCell ref="P37:P39"/>
    <mergeCell ref="AC43:AD43"/>
    <mergeCell ref="AC44:AD45"/>
    <mergeCell ref="AC46:AD46"/>
    <mergeCell ref="AC47:AD47"/>
    <mergeCell ref="AC48:AD48"/>
    <mergeCell ref="C33:N33"/>
    <mergeCell ref="C34:D34"/>
    <mergeCell ref="E39:F39"/>
    <mergeCell ref="C25:D25"/>
    <mergeCell ref="C27:D27"/>
    <mergeCell ref="E18:E19"/>
    <mergeCell ref="F18:K19"/>
    <mergeCell ref="D26:E26"/>
    <mergeCell ref="P33:P36"/>
    <mergeCell ref="Q33:Q34"/>
    <mergeCell ref="T44:U44"/>
    <mergeCell ref="R37:AC37"/>
    <mergeCell ref="Q37:Q39"/>
    <mergeCell ref="C38:I38"/>
    <mergeCell ref="E34:E37"/>
    <mergeCell ref="C40:D40"/>
    <mergeCell ref="AA45:AB45"/>
    <mergeCell ref="AA46:AB46"/>
    <mergeCell ref="R47:S47"/>
    <mergeCell ref="T47:U47"/>
    <mergeCell ref="P45:Q47"/>
    <mergeCell ref="W44:X44"/>
    <mergeCell ref="P44:Q44"/>
    <mergeCell ref="R44:S44"/>
    <mergeCell ref="AA47:AB47"/>
    <mergeCell ref="C81:H81"/>
    <mergeCell ref="I77:K77"/>
    <mergeCell ref="I78:K78"/>
    <mergeCell ref="I79:K79"/>
    <mergeCell ref="I80:K80"/>
    <mergeCell ref="E76:F76"/>
    <mergeCell ref="H76:I76"/>
    <mergeCell ref="C77:E77"/>
    <mergeCell ref="C78:E78"/>
    <mergeCell ref="C79:E79"/>
    <mergeCell ref="G77:G79"/>
    <mergeCell ref="H77:H79"/>
    <mergeCell ref="D1:F3"/>
    <mergeCell ref="D4:F4"/>
    <mergeCell ref="D5:F5"/>
    <mergeCell ref="C6:H8"/>
    <mergeCell ref="AA48:AB48"/>
    <mergeCell ref="AA43:AB43"/>
    <mergeCell ref="AA44:AB44"/>
    <mergeCell ref="M77:M79"/>
    <mergeCell ref="N77:N79"/>
    <mergeCell ref="C75:E75"/>
    <mergeCell ref="C11:J11"/>
    <mergeCell ref="C16:K16"/>
    <mergeCell ref="C23:I23"/>
    <mergeCell ref="C28:F28"/>
    <mergeCell ref="I64:L64"/>
    <mergeCell ref="D62:F62"/>
    <mergeCell ref="D72:E72"/>
    <mergeCell ref="D59:G59"/>
    <mergeCell ref="D60:F60"/>
    <mergeCell ref="D61:E61"/>
    <mergeCell ref="D63:E63"/>
    <mergeCell ref="I59:L59"/>
    <mergeCell ref="I60:K60"/>
    <mergeCell ref="E40:F40"/>
  </mergeCells>
  <hyperlinks>
    <hyperlink ref="D4" r:id="rId1"/>
  </hyperlinks>
  <pageMargins left="0.7" right="0.7" top="0.75" bottom="0.75" header="0.3" footer="0.3"/>
  <pageSetup paperSize="9" orientation="portrait" verticalDpi="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37"/>
  <sheetViews>
    <sheetView topLeftCell="A37" zoomScale="78" zoomScaleNormal="78" workbookViewId="0">
      <selection activeCell="AF49" sqref="AF49"/>
    </sheetView>
  </sheetViews>
  <sheetFormatPr defaultRowHeight="15" x14ac:dyDescent="0.25"/>
  <cols>
    <col min="1" max="29" width="11.7109375" style="34" customWidth="1"/>
    <col min="30" max="57" width="11.7109375" style="80" customWidth="1"/>
    <col min="58" max="77" width="9.140625" style="81"/>
  </cols>
  <sheetData>
    <row r="1" spans="3:55" ht="20.100000000000001" customHeight="1" thickBot="1" x14ac:dyDescent="0.3"/>
    <row r="2" spans="3:55" ht="20.100000000000001" customHeight="1" thickBot="1" x14ac:dyDescent="0.3">
      <c r="C2" s="487" t="s">
        <v>139</v>
      </c>
      <c r="D2" s="488"/>
      <c r="E2" s="488"/>
      <c r="F2" s="488"/>
      <c r="G2" s="488"/>
      <c r="H2" s="488"/>
      <c r="I2" s="488"/>
      <c r="J2" s="489"/>
      <c r="S2" s="627" t="s">
        <v>250</v>
      </c>
      <c r="T2" s="371" t="s">
        <v>93</v>
      </c>
      <c r="U2" s="373" t="s">
        <v>94</v>
      </c>
      <c r="V2" s="400" t="s">
        <v>95</v>
      </c>
      <c r="W2" s="401"/>
      <c r="X2" s="401"/>
      <c r="Y2" s="401"/>
      <c r="Z2" s="401"/>
      <c r="AA2" s="401"/>
      <c r="AB2" s="401"/>
      <c r="AC2" s="401"/>
      <c r="AD2" s="401"/>
      <c r="AE2" s="401"/>
      <c r="AF2" s="401"/>
      <c r="AG2" s="402"/>
    </row>
    <row r="3" spans="3:55" ht="20.100000000000001" customHeight="1" x14ac:dyDescent="0.25">
      <c r="C3" s="82" t="s">
        <v>208</v>
      </c>
      <c r="D3" s="143">
        <v>0</v>
      </c>
      <c r="E3" s="76" t="s">
        <v>209</v>
      </c>
      <c r="F3" s="143">
        <v>0</v>
      </c>
      <c r="G3" s="83" t="s">
        <v>0</v>
      </c>
      <c r="H3" s="143">
        <v>0</v>
      </c>
      <c r="I3" s="76" t="s">
        <v>5</v>
      </c>
      <c r="J3" s="145">
        <v>0</v>
      </c>
      <c r="S3" s="628"/>
      <c r="T3" s="372"/>
      <c r="U3" s="374"/>
      <c r="V3" s="29">
        <v>1</v>
      </c>
      <c r="W3" s="29">
        <v>1.1000000000000001</v>
      </c>
      <c r="X3" s="29">
        <v>1.2</v>
      </c>
      <c r="Y3" s="29">
        <v>1.3</v>
      </c>
      <c r="Z3" s="29">
        <v>1.4</v>
      </c>
      <c r="AA3" s="29">
        <v>1.5</v>
      </c>
      <c r="AB3" s="29">
        <v>1.6</v>
      </c>
      <c r="AC3" s="29">
        <v>1.7</v>
      </c>
      <c r="AD3" s="29">
        <v>1.8</v>
      </c>
      <c r="AE3" s="29">
        <v>1.9</v>
      </c>
      <c r="AF3" s="29">
        <v>2</v>
      </c>
      <c r="AG3" s="36" t="s">
        <v>96</v>
      </c>
    </row>
    <row r="4" spans="3:55" ht="20.100000000000001" customHeight="1" x14ac:dyDescent="0.25">
      <c r="C4" s="84" t="s">
        <v>37</v>
      </c>
      <c r="D4" s="67">
        <v>0</v>
      </c>
      <c r="E4" s="66" t="s">
        <v>10</v>
      </c>
      <c r="F4" s="67">
        <v>0</v>
      </c>
      <c r="G4" s="85" t="s">
        <v>30</v>
      </c>
      <c r="H4" s="67">
        <v>0</v>
      </c>
      <c r="I4" s="66" t="s">
        <v>4</v>
      </c>
      <c r="J4" s="141">
        <v>0</v>
      </c>
      <c r="S4" s="628"/>
      <c r="T4" s="372"/>
      <c r="U4" s="37" t="s">
        <v>154</v>
      </c>
      <c r="V4" s="29">
        <v>4.8000000000000001E-2</v>
      </c>
      <c r="W4" s="29">
        <v>5.5E-2</v>
      </c>
      <c r="X4" s="29">
        <v>6.3E-2</v>
      </c>
      <c r="Y4" s="29">
        <v>6.9000000000000006E-2</v>
      </c>
      <c r="Z4" s="29">
        <v>7.4999999999999997E-2</v>
      </c>
      <c r="AA4" s="29">
        <v>8.1000000000000003E-2</v>
      </c>
      <c r="AB4" s="29">
        <v>8.5999999999999993E-2</v>
      </c>
      <c r="AC4" s="29">
        <v>9.0999999999999998E-2</v>
      </c>
      <c r="AD4" s="29">
        <v>9.4E-2</v>
      </c>
      <c r="AE4" s="29">
        <v>9.8000000000000004E-2</v>
      </c>
      <c r="AF4" s="29">
        <v>0.1</v>
      </c>
      <c r="AG4" s="36">
        <v>0.125</v>
      </c>
    </row>
    <row r="5" spans="3:55" ht="20.100000000000001" customHeight="1" thickBot="1" x14ac:dyDescent="0.3">
      <c r="C5" s="88"/>
      <c r="D5" s="89"/>
      <c r="E5" s="89" t="s">
        <v>64</v>
      </c>
      <c r="F5" s="140">
        <v>0</v>
      </c>
      <c r="G5" s="90" t="s">
        <v>210</v>
      </c>
      <c r="H5" s="140">
        <v>0</v>
      </c>
      <c r="I5" s="89" t="s">
        <v>78</v>
      </c>
      <c r="J5" s="144">
        <v>0</v>
      </c>
      <c r="S5" s="628"/>
      <c r="T5" s="372"/>
      <c r="U5" s="37" t="s">
        <v>155</v>
      </c>
      <c r="V5" s="29">
        <v>4.8000000000000001E-2</v>
      </c>
      <c r="W5" s="29">
        <v>4.9000000000000002E-2</v>
      </c>
      <c r="X5" s="29">
        <v>0.05</v>
      </c>
      <c r="Y5" s="29">
        <v>0.05</v>
      </c>
      <c r="Z5" s="29">
        <v>0.05</v>
      </c>
      <c r="AA5" s="29">
        <v>0.05</v>
      </c>
      <c r="AB5" s="29">
        <v>4.9000000000000002E-2</v>
      </c>
      <c r="AC5" s="29">
        <v>4.8000000000000001E-2</v>
      </c>
      <c r="AD5" s="29">
        <v>4.8000000000000001E-2</v>
      </c>
      <c r="AE5" s="29">
        <v>4.7E-2</v>
      </c>
      <c r="AF5" s="29">
        <v>4.5999999999999999E-2</v>
      </c>
      <c r="AG5" s="36">
        <v>3.6999999999999998E-2</v>
      </c>
    </row>
    <row r="6" spans="3:55" ht="20.100000000000001" customHeight="1" thickBot="1" x14ac:dyDescent="0.3">
      <c r="S6" s="628"/>
      <c r="T6" s="403" t="s">
        <v>97</v>
      </c>
      <c r="U6" s="379" t="s">
        <v>156</v>
      </c>
      <c r="V6" s="377" t="s">
        <v>99</v>
      </c>
      <c r="W6" s="377"/>
      <c r="X6" s="377"/>
      <c r="Y6" s="377"/>
      <c r="Z6" s="377"/>
      <c r="AA6" s="377"/>
      <c r="AB6" s="377"/>
      <c r="AC6" s="377"/>
      <c r="AD6" s="377"/>
      <c r="AE6" s="377"/>
      <c r="AF6" s="377"/>
      <c r="AG6" s="378"/>
    </row>
    <row r="7" spans="3:55" ht="20.100000000000001" customHeight="1" thickBot="1" x14ac:dyDescent="0.3">
      <c r="C7" s="490" t="s">
        <v>140</v>
      </c>
      <c r="D7" s="491"/>
      <c r="E7" s="491"/>
      <c r="F7" s="491"/>
      <c r="G7" s="491"/>
      <c r="H7" s="491"/>
      <c r="I7" s="491"/>
      <c r="J7" s="491"/>
      <c r="K7" s="94" t="e">
        <f>IF((0.85*F3*G8*I8*(SQRT(J5/(G8*I8)))*H3)&lt;=(1.7*H3*G8*I8*F3),(0.85*F3*G8*I8*(SQRT(J5/(G8*I8)))*H3),(1.7*H3*G8*I8*F3))</f>
        <v>#DIV/0!</v>
      </c>
      <c r="S7" s="628"/>
      <c r="T7" s="403"/>
      <c r="U7" s="379"/>
      <c r="V7" s="29">
        <v>0.5</v>
      </c>
      <c r="W7" s="29">
        <v>0.6</v>
      </c>
      <c r="X7" s="29">
        <v>0.7</v>
      </c>
      <c r="Y7" s="29">
        <v>0.8</v>
      </c>
      <c r="Z7" s="29">
        <v>0.9</v>
      </c>
      <c r="AA7" s="29">
        <v>1</v>
      </c>
      <c r="AB7" s="29">
        <v>1.2</v>
      </c>
      <c r="AC7" s="29">
        <v>1.4</v>
      </c>
      <c r="AD7" s="29">
        <v>2</v>
      </c>
      <c r="AE7" s="29" t="s">
        <v>96</v>
      </c>
      <c r="AF7" s="29"/>
      <c r="AG7" s="36"/>
      <c r="AQ7" s="308"/>
      <c r="AR7" s="308"/>
      <c r="AS7" s="308"/>
      <c r="AT7" s="308"/>
      <c r="AU7" s="308"/>
      <c r="AV7" s="308"/>
      <c r="AW7" s="308"/>
      <c r="AX7" s="308"/>
      <c r="AY7" s="308"/>
      <c r="AZ7" s="308"/>
      <c r="BA7" s="308"/>
      <c r="BB7" s="308"/>
      <c r="BC7" s="308"/>
    </row>
    <row r="8" spans="3:55" ht="20.100000000000001" customHeight="1" thickBot="1" x14ac:dyDescent="0.3">
      <c r="C8" s="244" t="s">
        <v>216</v>
      </c>
      <c r="D8" s="252" t="e">
        <f>D3/(F3*H3*0.85)</f>
        <v>#DIV/0!</v>
      </c>
      <c r="E8" s="244" t="s">
        <v>6</v>
      </c>
      <c r="F8" s="244" t="s">
        <v>3</v>
      </c>
      <c r="G8" s="245">
        <v>0</v>
      </c>
      <c r="H8" s="244" t="s">
        <v>282</v>
      </c>
      <c r="I8" s="245">
        <v>0</v>
      </c>
      <c r="J8" s="246" t="s">
        <v>7</v>
      </c>
      <c r="K8" s="244" t="e">
        <f>IF((G8*I8)&gt;=(D8),"ok","error")</f>
        <v>#DIV/0!</v>
      </c>
      <c r="S8" s="628"/>
      <c r="T8" s="403"/>
      <c r="U8" s="379"/>
      <c r="V8" s="29">
        <v>0.06</v>
      </c>
      <c r="W8" s="29">
        <v>7.3999999999999996E-2</v>
      </c>
      <c r="X8" s="29">
        <v>8.7999999999999995E-2</v>
      </c>
      <c r="Y8" s="29">
        <v>9.7000000000000003E-2</v>
      </c>
      <c r="Z8" s="29">
        <v>0.107</v>
      </c>
      <c r="AA8" s="29">
        <v>0.112</v>
      </c>
      <c r="AB8" s="29">
        <v>0.12</v>
      </c>
      <c r="AC8" s="29">
        <v>0.126</v>
      </c>
      <c r="AD8" s="29">
        <v>0.13200000000000001</v>
      </c>
      <c r="AE8" s="29">
        <v>0.13300000000000001</v>
      </c>
      <c r="AF8" s="29"/>
      <c r="AG8" s="36"/>
      <c r="AQ8" s="308"/>
      <c r="AU8" s="300"/>
      <c r="BB8" s="302"/>
      <c r="BC8" s="308"/>
    </row>
    <row r="9" spans="3:55" ht="20.100000000000001" customHeight="1" thickBot="1" x14ac:dyDescent="0.3">
      <c r="C9" s="244" t="s">
        <v>1</v>
      </c>
      <c r="D9" s="252">
        <f>((I8-(0.95*J4))/2)</f>
        <v>0</v>
      </c>
      <c r="E9" s="505" t="s">
        <v>8</v>
      </c>
      <c r="F9" s="506" t="s">
        <v>79</v>
      </c>
      <c r="G9" s="506"/>
      <c r="H9" s="506"/>
      <c r="I9" s="506"/>
      <c r="J9" s="505" t="e">
        <f>IF((D3&lt;=K7),"ok","error")</f>
        <v>#DIV/0!</v>
      </c>
      <c r="K9" s="505"/>
      <c r="S9" s="628"/>
      <c r="T9" s="392" t="s">
        <v>98</v>
      </c>
      <c r="U9" s="393"/>
      <c r="V9" s="393"/>
      <c r="W9" s="393"/>
      <c r="X9" s="393"/>
      <c r="Y9" s="393"/>
      <c r="Z9" s="393"/>
      <c r="AA9" s="393"/>
      <c r="AB9" s="393"/>
      <c r="AC9" s="393"/>
      <c r="AD9" s="393"/>
      <c r="AE9" s="393"/>
      <c r="AF9" s="393"/>
      <c r="AG9" s="394"/>
      <c r="AQ9" s="308"/>
      <c r="AU9" s="300"/>
      <c r="BB9" s="302"/>
      <c r="BC9" s="308"/>
    </row>
    <row r="10" spans="3:55" ht="20.100000000000001" customHeight="1" thickBot="1" x14ac:dyDescent="0.3">
      <c r="C10" s="244" t="s">
        <v>2</v>
      </c>
      <c r="D10" s="252">
        <f>((G8-(0.8*J3))/2)</f>
        <v>0</v>
      </c>
      <c r="E10" s="505"/>
      <c r="F10" s="506"/>
      <c r="G10" s="506"/>
      <c r="H10" s="506"/>
      <c r="I10" s="506"/>
      <c r="J10" s="505"/>
      <c r="K10" s="505"/>
      <c r="S10" s="628"/>
      <c r="T10" s="133"/>
      <c r="U10" s="133"/>
      <c r="V10" s="133"/>
      <c r="W10" s="133"/>
      <c r="X10" s="133"/>
      <c r="Y10" s="133"/>
      <c r="Z10" s="133"/>
      <c r="AA10" s="133"/>
      <c r="AB10" s="133"/>
      <c r="AC10" s="133"/>
      <c r="AD10" s="133"/>
      <c r="AE10" s="133"/>
      <c r="AF10" s="133"/>
      <c r="AG10" s="615"/>
      <c r="AQ10" s="308"/>
      <c r="AU10" s="300"/>
      <c r="BB10" s="302"/>
      <c r="BC10" s="308"/>
    </row>
    <row r="11" spans="3:55" ht="20.100000000000001" customHeight="1" thickBot="1" x14ac:dyDescent="0.3">
      <c r="S11" s="628"/>
      <c r="T11" s="133"/>
      <c r="U11" s="395" t="s">
        <v>114</v>
      </c>
      <c r="V11" s="396"/>
      <c r="W11" s="395" t="s">
        <v>115</v>
      </c>
      <c r="X11" s="396"/>
      <c r="Y11" s="399" t="s">
        <v>116</v>
      </c>
      <c r="Z11" s="398"/>
      <c r="AA11" s="619"/>
      <c r="AB11" s="62" t="s">
        <v>127</v>
      </c>
      <c r="AC11" s="318" t="s">
        <v>128</v>
      </c>
      <c r="AD11" s="318"/>
      <c r="AE11" s="626" t="s">
        <v>134</v>
      </c>
      <c r="AF11" s="626"/>
      <c r="AG11" s="616"/>
      <c r="AQ11" s="308"/>
      <c r="AU11" s="301"/>
      <c r="BB11" s="303"/>
      <c r="BC11" s="304"/>
    </row>
    <row r="12" spans="3:55" ht="20.100000000000001" customHeight="1" thickBot="1" x14ac:dyDescent="0.55000000000000004">
      <c r="S12" s="628"/>
      <c r="T12" s="133"/>
      <c r="U12" s="364" t="s">
        <v>117</v>
      </c>
      <c r="V12" s="365"/>
      <c r="W12" s="620">
        <v>0.3</v>
      </c>
      <c r="X12" s="621"/>
      <c r="Y12" s="375" t="s">
        <v>118</v>
      </c>
      <c r="Z12" s="376"/>
      <c r="AA12" s="619"/>
      <c r="AB12" s="16">
        <v>4200</v>
      </c>
      <c r="AC12" s="319" t="s">
        <v>129</v>
      </c>
      <c r="AD12" s="319"/>
      <c r="AE12" s="626" t="s">
        <v>135</v>
      </c>
      <c r="AF12" s="626"/>
      <c r="AG12" s="616"/>
      <c r="AQ12" s="308"/>
      <c r="AU12" s="308"/>
      <c r="AV12" s="309"/>
      <c r="AW12" s="309"/>
      <c r="AX12" s="308"/>
      <c r="AY12" s="308"/>
      <c r="AZ12" s="308"/>
      <c r="BA12" s="309"/>
      <c r="BB12" s="309"/>
      <c r="BC12" s="308"/>
    </row>
    <row r="13" spans="3:55" ht="20.100000000000001" customHeight="1" thickBot="1" x14ac:dyDescent="0.55000000000000004">
      <c r="C13" s="497" t="s">
        <v>200</v>
      </c>
      <c r="D13" s="498"/>
      <c r="E13" s="498"/>
      <c r="F13" s="498"/>
      <c r="G13" s="499"/>
      <c r="S13" s="628"/>
      <c r="T13" s="133"/>
      <c r="U13" s="356" t="s">
        <v>119</v>
      </c>
      <c r="V13" s="357"/>
      <c r="W13" s="622">
        <v>0.5</v>
      </c>
      <c r="X13" s="388"/>
      <c r="Y13" s="390" t="s">
        <v>120</v>
      </c>
      <c r="Z13" s="391"/>
      <c r="AA13" s="619"/>
      <c r="AB13" s="16">
        <v>4900</v>
      </c>
      <c r="AC13" s="319" t="s">
        <v>130</v>
      </c>
      <c r="AD13" s="319"/>
      <c r="AE13" s="626"/>
      <c r="AF13" s="626"/>
      <c r="AG13" s="616"/>
      <c r="AQ13" s="304"/>
      <c r="AR13" s="304"/>
      <c r="AS13" s="307"/>
      <c r="AT13" s="307"/>
      <c r="AU13" s="307"/>
      <c r="AV13" s="309"/>
      <c r="AW13" s="309"/>
      <c r="AX13" s="309"/>
      <c r="AY13" s="309"/>
      <c r="AZ13" s="309"/>
      <c r="BA13" s="309"/>
      <c r="BB13" s="309"/>
      <c r="BC13" s="308"/>
    </row>
    <row r="14" spans="3:55" ht="20.100000000000001" customHeight="1" x14ac:dyDescent="0.5">
      <c r="C14" s="495" t="s">
        <v>261</v>
      </c>
      <c r="D14" s="496"/>
      <c r="E14" s="496"/>
      <c r="F14" s="496"/>
      <c r="G14" s="145">
        <v>0</v>
      </c>
      <c r="S14" s="628"/>
      <c r="T14" s="133"/>
      <c r="U14" s="358"/>
      <c r="V14" s="359"/>
      <c r="W14" s="622">
        <v>0.6</v>
      </c>
      <c r="X14" s="388"/>
      <c r="Y14" s="390" t="s">
        <v>121</v>
      </c>
      <c r="Z14" s="391"/>
      <c r="AA14" s="619"/>
      <c r="AB14" s="16">
        <v>4900</v>
      </c>
      <c r="AC14" s="319" t="s">
        <v>130</v>
      </c>
      <c r="AD14" s="319"/>
      <c r="AE14" s="626" t="s">
        <v>136</v>
      </c>
      <c r="AF14" s="626"/>
      <c r="AG14" s="616"/>
      <c r="AQ14" s="304"/>
      <c r="AR14" s="307"/>
      <c r="AS14" s="307"/>
      <c r="AT14" s="307"/>
      <c r="AU14" s="307"/>
      <c r="AV14" s="309"/>
      <c r="AW14" s="309"/>
      <c r="AX14" s="309"/>
      <c r="AY14" s="309"/>
      <c r="AZ14" s="309"/>
      <c r="BA14" s="309"/>
      <c r="BB14" s="309"/>
      <c r="BC14" s="308"/>
    </row>
    <row r="15" spans="3:55" ht="20.100000000000001" customHeight="1" thickBot="1" x14ac:dyDescent="0.55000000000000004">
      <c r="C15" s="515" t="s">
        <v>199</v>
      </c>
      <c r="D15" s="516"/>
      <c r="E15" s="516"/>
      <c r="F15" s="89" t="s">
        <v>35</v>
      </c>
      <c r="G15" s="253" t="e">
        <f>(D4)/D3</f>
        <v>#DIV/0!</v>
      </c>
      <c r="S15" s="628"/>
      <c r="T15" s="133"/>
      <c r="U15" s="360"/>
      <c r="V15" s="361"/>
      <c r="W15" s="623">
        <v>0.8</v>
      </c>
      <c r="X15" s="352"/>
      <c r="Y15" s="354" t="s">
        <v>122</v>
      </c>
      <c r="Z15" s="355"/>
      <c r="AA15" s="619"/>
      <c r="AB15" s="16">
        <v>4900</v>
      </c>
      <c r="AC15" s="319" t="s">
        <v>130</v>
      </c>
      <c r="AD15" s="319"/>
      <c r="AE15" s="626" t="s">
        <v>137</v>
      </c>
      <c r="AF15" s="626"/>
      <c r="AG15" s="616"/>
    </row>
    <row r="16" spans="3:55" ht="20.100000000000001" customHeight="1" thickBot="1" x14ac:dyDescent="0.55000000000000004">
      <c r="S16" s="629"/>
      <c r="T16" s="134"/>
      <c r="U16" s="618"/>
      <c r="V16" s="618"/>
      <c r="W16" s="618"/>
      <c r="X16" s="618"/>
      <c r="Y16" s="618"/>
      <c r="Z16" s="618"/>
      <c r="AA16" s="618"/>
      <c r="AB16" s="132">
        <v>5600</v>
      </c>
      <c r="AC16" s="624" t="s">
        <v>131</v>
      </c>
      <c r="AD16" s="624"/>
      <c r="AE16" s="625" t="s">
        <v>138</v>
      </c>
      <c r="AF16" s="625"/>
      <c r="AG16" s="617"/>
    </row>
    <row r="17" spans="2:42" ht="20.100000000000001" customHeight="1" thickBot="1" x14ac:dyDescent="0.3">
      <c r="N17" s="80"/>
      <c r="O17" s="80"/>
      <c r="P17" s="80"/>
    </row>
    <row r="18" spans="2:42" ht="20.100000000000001" customHeight="1" thickBot="1" x14ac:dyDescent="0.3">
      <c r="C18" s="497" t="s">
        <v>201</v>
      </c>
      <c r="D18" s="498"/>
      <c r="E18" s="498"/>
      <c r="F18" s="499"/>
      <c r="N18" s="80"/>
      <c r="O18" s="80"/>
      <c r="P18" s="80"/>
    </row>
    <row r="19" spans="2:42" ht="20.100000000000001" customHeight="1" x14ac:dyDescent="0.25">
      <c r="C19" s="511" t="s">
        <v>36</v>
      </c>
      <c r="D19" s="512"/>
      <c r="E19" s="509">
        <v>0</v>
      </c>
      <c r="F19" s="510"/>
      <c r="N19" s="80"/>
      <c r="O19" s="80"/>
      <c r="P19" s="80"/>
    </row>
    <row r="20" spans="2:42" ht="20.100000000000001" customHeight="1" x14ac:dyDescent="0.25">
      <c r="C20" s="84" t="s">
        <v>38</v>
      </c>
      <c r="D20" s="513" t="e">
        <f>IF(((MAX(G14,G15))&lt;=(E19/6)),"e≤H/6 برون محوری کوچک","حالات بعدی")</f>
        <v>#DIV/0!</v>
      </c>
      <c r="E20" s="513"/>
      <c r="F20" s="514"/>
      <c r="N20" s="80"/>
      <c r="O20" s="80"/>
      <c r="P20" s="80"/>
    </row>
    <row r="21" spans="2:42" ht="20.100000000000001" customHeight="1" x14ac:dyDescent="0.25">
      <c r="C21" s="84" t="s">
        <v>40</v>
      </c>
      <c r="D21" s="513" t="e">
        <f>IF(((MAX(G14,G15))&gt;(E19/6)),(IF(((MAX(G14,G15))&lt;=(E19/2)),"H/6&lt;e≤H/2 برون محوری متوسط","حالات بعدی")))</f>
        <v>#DIV/0!</v>
      </c>
      <c r="E21" s="513"/>
      <c r="F21" s="514"/>
      <c r="N21" s="80"/>
      <c r="O21" s="80"/>
      <c r="P21" s="80"/>
    </row>
    <row r="22" spans="2:42" ht="20.100000000000001" customHeight="1" thickBot="1" x14ac:dyDescent="0.3">
      <c r="C22" s="88" t="s">
        <v>39</v>
      </c>
      <c r="D22" s="507" t="e">
        <f>IF(((MAX(G14,G15))&gt;(E19/2)),"e&gt;H/2 برون محوری بزرگ","حالات بعدی")</f>
        <v>#DIV/0!</v>
      </c>
      <c r="E22" s="507"/>
      <c r="F22" s="508"/>
      <c r="N22" s="80"/>
      <c r="O22" s="80"/>
      <c r="P22" s="80"/>
    </row>
    <row r="23" spans="2:42" ht="20.100000000000001" customHeight="1" thickBot="1" x14ac:dyDescent="0.3"/>
    <row r="24" spans="2:42" ht="20.100000000000001" customHeight="1" thickBot="1" x14ac:dyDescent="0.3">
      <c r="D24" s="492" t="s">
        <v>180</v>
      </c>
      <c r="E24" s="493"/>
      <c r="F24" s="493"/>
      <c r="G24" s="493"/>
      <c r="H24" s="493"/>
      <c r="I24" s="493"/>
      <c r="J24" s="494"/>
      <c r="S24" s="492" t="s">
        <v>180</v>
      </c>
      <c r="T24" s="493"/>
      <c r="U24" s="493"/>
      <c r="V24" s="493"/>
      <c r="W24" s="493"/>
      <c r="X24" s="493"/>
      <c r="Y24" s="494"/>
      <c r="AF24" s="470" t="s">
        <v>180</v>
      </c>
      <c r="AG24" s="471"/>
      <c r="AH24" s="471"/>
      <c r="AI24" s="471"/>
      <c r="AJ24" s="471"/>
      <c r="AK24" s="471"/>
      <c r="AL24" s="471"/>
      <c r="AM24" s="471"/>
      <c r="AN24" s="471"/>
      <c r="AO24" s="471"/>
      <c r="AP24" s="472"/>
    </row>
    <row r="25" spans="2:42" ht="20.100000000000001" customHeight="1" thickBot="1" x14ac:dyDescent="0.3">
      <c r="D25" s="519" t="s">
        <v>104</v>
      </c>
      <c r="E25" s="520"/>
      <c r="F25" s="520"/>
      <c r="G25" s="520"/>
      <c r="H25" s="520"/>
      <c r="I25" s="520"/>
      <c r="J25" s="521"/>
      <c r="S25" s="86" t="s">
        <v>41</v>
      </c>
      <c r="T25" s="257" t="e">
        <f>(E19/2)-(MAX(G14,G15))</f>
        <v>#DIV/0!</v>
      </c>
      <c r="U25" s="87" t="s">
        <v>42</v>
      </c>
      <c r="V25" s="256" t="e">
        <f>3*T25</f>
        <v>#DIV/0!</v>
      </c>
      <c r="W25" s="519" t="s">
        <v>105</v>
      </c>
      <c r="X25" s="520"/>
      <c r="Y25" s="521"/>
      <c r="AF25" s="478" t="s">
        <v>248</v>
      </c>
      <c r="AG25" s="479"/>
      <c r="AH25" s="479"/>
      <c r="AI25" s="479"/>
      <c r="AJ25" s="479"/>
      <c r="AK25" s="479"/>
      <c r="AL25" s="479"/>
      <c r="AM25" s="479"/>
      <c r="AN25" s="479"/>
      <c r="AO25" s="479"/>
      <c r="AP25" s="480"/>
    </row>
    <row r="26" spans="2:42" ht="20.100000000000001" customHeight="1" x14ac:dyDescent="0.25">
      <c r="D26" s="532" t="s">
        <v>28</v>
      </c>
      <c r="E26" s="567" t="s">
        <v>211</v>
      </c>
      <c r="F26" s="567"/>
      <c r="G26" s="98" t="s">
        <v>212</v>
      </c>
      <c r="H26" s="247" t="e">
        <f>MAX((D3/(G8*I8))+((6*D3*(MAX(G15,G14)))/(E19*(G8*I8))),(D3/(G8*I8))-((6*D3*(MAX(G15,G14)))/(E19*(G8*I8))))</f>
        <v>#DIV/0!</v>
      </c>
      <c r="I26" s="98" t="s">
        <v>80</v>
      </c>
      <c r="J26" s="251" t="e">
        <f>IF((0.85*F3*H3*(SQRT(J5/(G8*I8))))&gt;(1.7*F3*H3),(1.7*H3*F3),(0.85*H3*F3*(SQRT(J5/(G8*I8)))))</f>
        <v>#DIV/0!</v>
      </c>
      <c r="S26" s="535" t="s">
        <v>28</v>
      </c>
      <c r="T26" s="537" t="s">
        <v>211</v>
      </c>
      <c r="U26" s="538"/>
      <c r="V26" s="91" t="s">
        <v>212</v>
      </c>
      <c r="W26" s="112" t="e">
        <f>(2*D3)/(V25*(IF(E19=G8,I8,G8)))</f>
        <v>#DIV/0!</v>
      </c>
      <c r="X26" s="91" t="s">
        <v>80</v>
      </c>
      <c r="Y26" s="250" t="e">
        <f>IF((0.85*F3*H3*(SQRT(J5/(G8*I8))))&gt;(1.7*F3*H3),(1.7*H3*F3),(0.85*H3*F3*(SQRT(J5/(G8*I8)))))</f>
        <v>#DIV/0!</v>
      </c>
      <c r="AF26" s="82" t="s">
        <v>3</v>
      </c>
      <c r="AG26" s="143">
        <v>0</v>
      </c>
      <c r="AH26" s="76" t="s">
        <v>282</v>
      </c>
      <c r="AI26" s="143">
        <v>0</v>
      </c>
      <c r="AJ26" s="486" t="s">
        <v>227</v>
      </c>
      <c r="AK26" s="486"/>
      <c r="AL26" s="143">
        <v>0</v>
      </c>
      <c r="AM26" s="486" t="s">
        <v>228</v>
      </c>
      <c r="AN26" s="486"/>
      <c r="AO26" s="486"/>
      <c r="AP26" s="145">
        <v>0</v>
      </c>
    </row>
    <row r="27" spans="2:42" ht="20.100000000000001" customHeight="1" x14ac:dyDescent="0.25">
      <c r="D27" s="485"/>
      <c r="E27" s="92" t="s">
        <v>226</v>
      </c>
      <c r="F27" s="66" t="e">
        <f>IF((H26&lt;=(J26)),"ok&gt;&gt;&gt;","error")</f>
        <v>#DIV/0!</v>
      </c>
      <c r="G27" s="66" t="s">
        <v>213</v>
      </c>
      <c r="H27" s="248" t="e">
        <f>(1.5*D9)*(SQRT(H26/F4))</f>
        <v>#DIV/0!</v>
      </c>
      <c r="I27" s="66" t="s">
        <v>214</v>
      </c>
      <c r="J27" s="249" t="e">
        <f>(1.5*D10)*(SQRT(H26/F4))</f>
        <v>#DIV/0!</v>
      </c>
      <c r="K27" s="99"/>
      <c r="S27" s="536"/>
      <c r="T27" s="92" t="s">
        <v>103</v>
      </c>
      <c r="U27" s="66" t="e">
        <f>IF((W26&lt;=(Y26)),"ok&gt;&gt;&gt;","error")</f>
        <v>#DIV/0!</v>
      </c>
      <c r="V27" s="66" t="s">
        <v>213</v>
      </c>
      <c r="W27" s="248" t="e">
        <f>(1.5*D9)*(SQRT(W26/F4))</f>
        <v>#DIV/0!</v>
      </c>
      <c r="X27" s="66" t="s">
        <v>214</v>
      </c>
      <c r="Y27" s="249" t="e">
        <f>(1.5*D10)*(SQRT(W26/F4))</f>
        <v>#DIV/0!</v>
      </c>
      <c r="AF27" s="121" t="s">
        <v>27</v>
      </c>
      <c r="AG27" s="67">
        <v>0</v>
      </c>
      <c r="AH27" s="66" t="s">
        <v>230</v>
      </c>
      <c r="AI27" s="67">
        <v>0</v>
      </c>
      <c r="AJ27" s="66" t="s">
        <v>69</v>
      </c>
      <c r="AK27" s="67">
        <v>0</v>
      </c>
      <c r="AL27" s="66" t="s">
        <v>66</v>
      </c>
      <c r="AM27" s="67">
        <v>0</v>
      </c>
      <c r="AN27" s="66" t="s">
        <v>67</v>
      </c>
      <c r="AO27" s="67">
        <v>0</v>
      </c>
      <c r="AP27" s="78"/>
    </row>
    <row r="28" spans="2:42" ht="20.100000000000001" customHeight="1" x14ac:dyDescent="0.25">
      <c r="D28" s="485" t="s">
        <v>29</v>
      </c>
      <c r="E28" s="466" t="s">
        <v>215</v>
      </c>
      <c r="F28" s="466"/>
      <c r="G28" s="91" t="s">
        <v>212</v>
      </c>
      <c r="H28" s="112" t="e">
        <f>H26</f>
        <v>#DIV/0!</v>
      </c>
      <c r="I28" s="91" t="s">
        <v>80</v>
      </c>
      <c r="J28" s="250" t="e">
        <f>J26</f>
        <v>#DIV/0!</v>
      </c>
      <c r="K28" s="100"/>
      <c r="S28" s="485" t="s">
        <v>29</v>
      </c>
      <c r="T28" s="466" t="s">
        <v>215</v>
      </c>
      <c r="U28" s="466"/>
      <c r="V28" s="91" t="s">
        <v>212</v>
      </c>
      <c r="W28" s="112" t="e">
        <f>W26</f>
        <v>#DIV/0!</v>
      </c>
      <c r="X28" s="91" t="s">
        <v>80</v>
      </c>
      <c r="Y28" s="250" t="e">
        <f>Y26</f>
        <v>#DIV/0!</v>
      </c>
      <c r="AF28" s="84" t="s">
        <v>68</v>
      </c>
      <c r="AG28" s="248" t="e">
        <f>AM27/AO27</f>
        <v>#DIV/0!</v>
      </c>
      <c r="AH28" s="66" t="s">
        <v>65</v>
      </c>
      <c r="AI28" s="112">
        <f>((3.14*AG27*AG27)/4)*AI27</f>
        <v>0</v>
      </c>
      <c r="AJ28" s="66" t="s">
        <v>34</v>
      </c>
      <c r="AK28" s="248" t="e">
        <f>MAX('بار محوری خارج از مرکز و خمش'!G14,'بار محوری خارج از مرکز و خمش'!G15)</f>
        <v>#DIV/0!</v>
      </c>
      <c r="AL28" s="66" t="s">
        <v>203</v>
      </c>
      <c r="AM28" s="112" t="e">
        <f>3*(AK28-((AL26/2)))</f>
        <v>#DIV/0!</v>
      </c>
      <c r="AN28" s="66" t="s">
        <v>204</v>
      </c>
      <c r="AO28" s="112" t="e">
        <f>((6*AG28*AI28)/AP26)*(AK27+AK28)</f>
        <v>#DIV/0!</v>
      </c>
      <c r="AP28" s="78"/>
    </row>
    <row r="29" spans="2:42" ht="20.100000000000001" customHeight="1" x14ac:dyDescent="0.25">
      <c r="D29" s="485"/>
      <c r="E29" s="92" t="s">
        <v>231</v>
      </c>
      <c r="F29" s="66" t="e">
        <f>IF((H28&lt;=(0.85*F3)),"ok&gt;&gt;&gt;","error")</f>
        <v>#DIV/0!</v>
      </c>
      <c r="G29" s="66" t="s">
        <v>213</v>
      </c>
      <c r="H29" s="248" t="e">
        <f>(H28*D9)/(0.6*F4*H4)</f>
        <v>#DIV/0!</v>
      </c>
      <c r="I29" s="66" t="s">
        <v>214</v>
      </c>
      <c r="J29" s="249" t="e">
        <f>(H28*D10)/(0.6*F4*H4)</f>
        <v>#DIV/0!</v>
      </c>
      <c r="P29" s="74"/>
      <c r="S29" s="485"/>
      <c r="T29" s="92" t="s">
        <v>103</v>
      </c>
      <c r="U29" s="66" t="e">
        <f>IF((W28&lt;=(Y28)),"ok&gt;&gt;&gt;","error")</f>
        <v>#DIV/0!</v>
      </c>
      <c r="V29" s="66" t="s">
        <v>213</v>
      </c>
      <c r="W29" s="248" t="e">
        <f>(W28*D9)/(0.6*F4*H4)</f>
        <v>#DIV/0!</v>
      </c>
      <c r="X29" s="66" t="s">
        <v>214</v>
      </c>
      <c r="Y29" s="249" t="e">
        <f>(W28*D10)/(0.6*F4*H4)</f>
        <v>#DIV/0!</v>
      </c>
      <c r="AF29" s="84" t="s">
        <v>205</v>
      </c>
      <c r="AG29" s="112" t="e">
        <f>(-1)*(AO28)*((AL26/2)+AK27)</f>
        <v>#DIV/0!</v>
      </c>
      <c r="AH29" s="66"/>
      <c r="AI29" s="66"/>
      <c r="AJ29" s="66"/>
      <c r="AK29" s="66"/>
      <c r="AL29" s="66"/>
      <c r="AM29" s="66"/>
      <c r="AN29" s="120"/>
      <c r="AO29" s="120"/>
      <c r="AP29" s="78"/>
    </row>
    <row r="30" spans="2:42" ht="20.100000000000001" customHeight="1" thickBot="1" x14ac:dyDescent="0.3">
      <c r="D30" s="522" t="s">
        <v>31</v>
      </c>
      <c r="E30" s="523"/>
      <c r="F30" s="523"/>
      <c r="G30" s="523"/>
      <c r="H30" s="95" t="e">
        <f>IF(MAX(J27,H27)&gt;(MAX(J29,H29)),"خمش","برش")</f>
        <v>#DIV/0!</v>
      </c>
      <c r="I30" s="95" t="s">
        <v>43</v>
      </c>
      <c r="J30" s="144">
        <v>0</v>
      </c>
      <c r="K30" s="100"/>
      <c r="S30" s="522" t="s">
        <v>31</v>
      </c>
      <c r="T30" s="523"/>
      <c r="U30" s="523"/>
      <c r="V30" s="523"/>
      <c r="W30" s="95" t="e">
        <f>IF(MAX(Y27,W27)&gt;(MAX(Y29,W29)),"خمش","برش")</f>
        <v>#DIV/0!</v>
      </c>
      <c r="X30" s="95" t="s">
        <v>43</v>
      </c>
      <c r="Y30" s="144">
        <v>0</v>
      </c>
      <c r="AF30" s="482" t="s">
        <v>70</v>
      </c>
      <c r="AG30" s="483"/>
      <c r="AH30" s="483"/>
      <c r="AI30" s="466"/>
      <c r="AJ30" s="466"/>
      <c r="AK30" s="466"/>
      <c r="AL30" s="484" t="s">
        <v>71</v>
      </c>
      <c r="AM30" s="484"/>
      <c r="AN30" s="484"/>
      <c r="AO30" s="484"/>
      <c r="AP30" s="78"/>
    </row>
    <row r="31" spans="2:42" ht="20.100000000000001" customHeight="1" thickBot="1" x14ac:dyDescent="0.3">
      <c r="AF31" s="485"/>
      <c r="AG31" s="466"/>
      <c r="AH31" s="466"/>
      <c r="AI31" s="66" t="s">
        <v>72</v>
      </c>
      <c r="AJ31" s="466" t="s">
        <v>8</v>
      </c>
      <c r="AK31" s="466"/>
      <c r="AL31" s="481" t="s">
        <v>75</v>
      </c>
      <c r="AM31" s="481"/>
      <c r="AN31" s="481"/>
      <c r="AO31" s="481"/>
      <c r="AP31" s="78"/>
    </row>
    <row r="32" spans="2:42" ht="20.100000000000001" customHeight="1" thickBot="1" x14ac:dyDescent="0.3">
      <c r="B32" s="470" t="s">
        <v>185</v>
      </c>
      <c r="C32" s="471"/>
      <c r="D32" s="471"/>
      <c r="E32" s="471"/>
      <c r="F32" s="471"/>
      <c r="G32" s="471"/>
      <c r="H32" s="471"/>
      <c r="I32" s="471"/>
      <c r="J32" s="471"/>
      <c r="K32" s="471"/>
      <c r="L32" s="471"/>
      <c r="M32" s="472"/>
      <c r="Q32" s="470" t="s">
        <v>186</v>
      </c>
      <c r="R32" s="471"/>
      <c r="S32" s="471"/>
      <c r="T32" s="471"/>
      <c r="U32" s="471"/>
      <c r="V32" s="471"/>
      <c r="W32" s="471"/>
      <c r="X32" s="471"/>
      <c r="Y32" s="471"/>
      <c r="Z32" s="471"/>
      <c r="AA32" s="471"/>
      <c r="AB32" s="472"/>
      <c r="AF32" s="84" t="s">
        <v>73</v>
      </c>
      <c r="AG32" s="67">
        <v>0</v>
      </c>
      <c r="AH32" s="66" t="s">
        <v>74</v>
      </c>
      <c r="AI32" s="248" t="e">
        <f>AG32-(((AG32*AG32*AG32)+(AM28*AG32*AG32)+(AO28*AG32)+(AG29))/((3*AG32*AG32)+(2*AM28*AG32)+(AO28)))</f>
        <v>#DIV/0!</v>
      </c>
      <c r="AJ32" s="92" t="s">
        <v>76</v>
      </c>
      <c r="AK32" s="67">
        <v>0</v>
      </c>
      <c r="AL32" s="481"/>
      <c r="AM32" s="481"/>
      <c r="AN32" s="481"/>
      <c r="AO32" s="481"/>
      <c r="AP32" s="78"/>
    </row>
    <row r="33" spans="2:70" ht="20.100000000000001" customHeight="1" x14ac:dyDescent="0.25">
      <c r="B33" s="473" t="s">
        <v>217</v>
      </c>
      <c r="C33" s="474"/>
      <c r="D33" s="107"/>
      <c r="E33" s="475" t="s">
        <v>286</v>
      </c>
      <c r="F33" s="475"/>
      <c r="G33" s="475"/>
      <c r="H33" s="475"/>
      <c r="I33" s="76"/>
      <c r="J33" s="476" t="s">
        <v>287</v>
      </c>
      <c r="K33" s="476"/>
      <c r="L33" s="476"/>
      <c r="M33" s="477"/>
      <c r="O33" s="74"/>
      <c r="P33" s="74"/>
      <c r="Q33" s="473" t="s">
        <v>217</v>
      </c>
      <c r="R33" s="474"/>
      <c r="S33" s="107"/>
      <c r="T33" s="475" t="s">
        <v>286</v>
      </c>
      <c r="U33" s="475"/>
      <c r="V33" s="475"/>
      <c r="W33" s="475"/>
      <c r="X33" s="76"/>
      <c r="Y33" s="476" t="s">
        <v>287</v>
      </c>
      <c r="Z33" s="476"/>
      <c r="AA33" s="476"/>
      <c r="AB33" s="477"/>
      <c r="AF33" s="122" t="s">
        <v>212</v>
      </c>
      <c r="AG33" s="248" t="e">
        <f>(2*D3*(AK28+AK27))/(AK32*AP26*((AL26/2)+AK27-(AK32/3)))</f>
        <v>#DIV/0!</v>
      </c>
      <c r="AH33" s="66" t="s">
        <v>77</v>
      </c>
      <c r="AI33" s="112" t="e">
        <f>(D3)*(((AK32/3)+(AK28)-(AL26/2))/((AL26/2)-(AK32/3)+(AK27)))</f>
        <v>#DIV/0!</v>
      </c>
      <c r="AJ33" s="66"/>
      <c r="AK33" s="543" t="s">
        <v>231</v>
      </c>
      <c r="AL33" s="543"/>
      <c r="AM33" s="91" t="s">
        <v>80</v>
      </c>
      <c r="AN33" s="112" t="e">
        <f>IF((0.85*F3*H3*(SQRT(J5/(AI26*AG26))))&gt;(1.7*F3*H3),(1.7*F3*H3),(0.85*F3*H3*(SQRT(J5/(AG26*AI26)))))</f>
        <v>#DIV/0!</v>
      </c>
      <c r="AO33" s="66" t="s">
        <v>202</v>
      </c>
      <c r="AP33" s="78" t="e">
        <f>IF((AG33&lt;=(AN33)),"ok","error")</f>
        <v>#DIV/0!</v>
      </c>
    </row>
    <row r="34" spans="2:70" ht="20.100000000000001" customHeight="1" x14ac:dyDescent="0.25">
      <c r="B34" s="310" t="s">
        <v>85</v>
      </c>
      <c r="C34" s="67">
        <v>0</v>
      </c>
      <c r="D34" s="66"/>
      <c r="E34" s="298" t="s">
        <v>151</v>
      </c>
      <c r="F34" s="67">
        <v>0</v>
      </c>
      <c r="G34" s="298" t="s">
        <v>152</v>
      </c>
      <c r="H34" s="67">
        <v>0</v>
      </c>
      <c r="I34" s="66"/>
      <c r="J34" s="298" t="s">
        <v>87</v>
      </c>
      <c r="K34" s="67">
        <v>0</v>
      </c>
      <c r="L34" s="311" t="s">
        <v>88</v>
      </c>
      <c r="M34" s="141">
        <v>0</v>
      </c>
      <c r="Q34" s="310" t="s">
        <v>85</v>
      </c>
      <c r="R34" s="67">
        <v>0</v>
      </c>
      <c r="S34" s="66"/>
      <c r="T34" s="298" t="s">
        <v>151</v>
      </c>
      <c r="U34" s="67">
        <v>0</v>
      </c>
      <c r="V34" s="298" t="s">
        <v>152</v>
      </c>
      <c r="W34" s="67">
        <v>0</v>
      </c>
      <c r="X34" s="66"/>
      <c r="Y34" s="298" t="s">
        <v>87</v>
      </c>
      <c r="Z34" s="67">
        <v>0</v>
      </c>
      <c r="AA34" s="311" t="s">
        <v>88</v>
      </c>
      <c r="AB34" s="141">
        <v>0</v>
      </c>
      <c r="AF34" s="123" t="s">
        <v>28</v>
      </c>
      <c r="AG34" s="66" t="s">
        <v>214</v>
      </c>
      <c r="AH34" s="248" t="e">
        <f>(1.5*D10)*(SQRT(AG33/F4))</f>
        <v>#DIV/0!</v>
      </c>
      <c r="AI34" s="66" t="s">
        <v>213</v>
      </c>
      <c r="AJ34" s="248" t="e">
        <f>(1.5*D9)*(SQRT(AG33/F4))</f>
        <v>#DIV/0!</v>
      </c>
      <c r="AK34" s="101" t="s">
        <v>29</v>
      </c>
      <c r="AL34" s="66" t="s">
        <v>214</v>
      </c>
      <c r="AM34" s="248" t="e">
        <f>(AG33*D10)/(0.6*F4*H4)</f>
        <v>#DIV/0!</v>
      </c>
      <c r="AN34" s="66" t="s">
        <v>213</v>
      </c>
      <c r="AO34" s="248" t="e">
        <f>(AG33*D9)/(0.6*F4*H4)</f>
        <v>#DIV/0!</v>
      </c>
      <c r="AP34" s="78"/>
    </row>
    <row r="35" spans="2:70" ht="20.100000000000001" customHeight="1" thickBot="1" x14ac:dyDescent="0.3">
      <c r="B35" s="84" t="s">
        <v>212</v>
      </c>
      <c r="C35" s="258" t="e">
        <f>H26</f>
        <v>#DIV/0!</v>
      </c>
      <c r="D35" s="66"/>
      <c r="E35" s="66" t="s">
        <v>92</v>
      </c>
      <c r="F35" s="254" t="e">
        <f>F34/H34</f>
        <v>#DIV/0!</v>
      </c>
      <c r="G35" s="110" t="s">
        <v>218</v>
      </c>
      <c r="H35" s="67">
        <v>0</v>
      </c>
      <c r="I35" s="66"/>
      <c r="J35" s="66" t="s">
        <v>102</v>
      </c>
      <c r="K35" s="254" t="e">
        <f>K34/M34</f>
        <v>#DIV/0!</v>
      </c>
      <c r="L35" s="66"/>
      <c r="M35" s="78"/>
      <c r="Q35" s="84" t="s">
        <v>212</v>
      </c>
      <c r="R35" s="258" t="e">
        <f>W26</f>
        <v>#DIV/0!</v>
      </c>
      <c r="S35" s="66"/>
      <c r="T35" s="66" t="s">
        <v>92</v>
      </c>
      <c r="U35" s="254" t="e">
        <f>U34/W34</f>
        <v>#DIV/0!</v>
      </c>
      <c r="V35" s="110" t="s">
        <v>218</v>
      </c>
      <c r="W35" s="67">
        <v>0</v>
      </c>
      <c r="X35" s="66"/>
      <c r="Y35" s="66" t="s">
        <v>102</v>
      </c>
      <c r="Z35" s="254" t="e">
        <f>Z34/AB34</f>
        <v>#DIV/0!</v>
      </c>
      <c r="AA35" s="66"/>
      <c r="AB35" s="78"/>
      <c r="AF35" s="565" t="s">
        <v>31</v>
      </c>
      <c r="AG35" s="566"/>
      <c r="AH35" s="566"/>
      <c r="AI35" s="566"/>
      <c r="AJ35" s="95" t="e">
        <f>IF(MAX(AJ34,AH34)&gt;(MAX(AM34,AO34)),"خمش","برش")</f>
        <v>#DIV/0!</v>
      </c>
      <c r="AK35" s="95" t="s">
        <v>43</v>
      </c>
      <c r="AL35" s="140">
        <v>0</v>
      </c>
      <c r="AM35" s="89"/>
      <c r="AN35" s="124"/>
      <c r="AO35" s="124"/>
      <c r="AP35" s="96"/>
    </row>
    <row r="36" spans="2:70" ht="20.100000000000001" customHeight="1" thickBot="1" x14ac:dyDescent="0.3">
      <c r="B36" s="113" t="s">
        <v>86</v>
      </c>
      <c r="C36" s="254" t="e">
        <f>(C35*C34*C34)/2</f>
        <v>#DIV/0!</v>
      </c>
      <c r="D36" s="66"/>
      <c r="E36" s="66" t="s">
        <v>91</v>
      </c>
      <c r="F36" s="254" t="e">
        <f>IF((F35&lt;0.5),C36,(H35*H34*H34*C35))</f>
        <v>#DIV/0!</v>
      </c>
      <c r="G36" s="66"/>
      <c r="H36" s="66"/>
      <c r="I36" s="66"/>
      <c r="J36" s="110" t="s">
        <v>219</v>
      </c>
      <c r="K36" s="67">
        <v>0</v>
      </c>
      <c r="L36" s="110" t="s">
        <v>220</v>
      </c>
      <c r="M36" s="141">
        <v>0</v>
      </c>
      <c r="Q36" s="113" t="s">
        <v>86</v>
      </c>
      <c r="R36" s="254" t="e">
        <f>(R35*R34*R34)/2</f>
        <v>#DIV/0!</v>
      </c>
      <c r="S36" s="66"/>
      <c r="T36" s="66" t="s">
        <v>91</v>
      </c>
      <c r="U36" s="254" t="e">
        <f>IF((U35&lt;0.5),R36,(W35*W34*W34*R35))</f>
        <v>#DIV/0!</v>
      </c>
      <c r="V36" s="66"/>
      <c r="W36" s="66"/>
      <c r="X36" s="66"/>
      <c r="Y36" s="110" t="s">
        <v>219</v>
      </c>
      <c r="Z36" s="67">
        <v>0</v>
      </c>
      <c r="AA36" s="110" t="s">
        <v>220</v>
      </c>
      <c r="AB36" s="141">
        <v>0</v>
      </c>
    </row>
    <row r="37" spans="2:70" ht="20.100000000000001" customHeight="1" thickBot="1" x14ac:dyDescent="0.3">
      <c r="B37" s="84"/>
      <c r="C37" s="66"/>
      <c r="D37" s="66"/>
      <c r="E37" s="66"/>
      <c r="F37" s="66"/>
      <c r="G37" s="93"/>
      <c r="H37" s="66"/>
      <c r="I37" s="92"/>
      <c r="J37" s="311" t="s">
        <v>89</v>
      </c>
      <c r="K37" s="254" t="e">
        <f>K36*C35*(MIN(M34,K34))*(MIN(M34,K34))</f>
        <v>#DIV/0!</v>
      </c>
      <c r="L37" s="311" t="s">
        <v>90</v>
      </c>
      <c r="M37" s="255" t="e">
        <f>M36*C35*(MIN(M34,K34))*(MIN(M34,K34))</f>
        <v>#DIV/0!</v>
      </c>
      <c r="Q37" s="84"/>
      <c r="R37" s="66"/>
      <c r="S37" s="66"/>
      <c r="T37" s="66"/>
      <c r="U37" s="66"/>
      <c r="V37" s="93"/>
      <c r="W37" s="66"/>
      <c r="X37" s="92"/>
      <c r="Y37" s="311" t="s">
        <v>89</v>
      </c>
      <c r="Z37" s="254" t="e">
        <f>Z36*R35*(MIN(AB34,Z34))*(MIN(AB34,Z34))</f>
        <v>#DIV/0!</v>
      </c>
      <c r="AA37" s="311" t="s">
        <v>90</v>
      </c>
      <c r="AB37" s="255" t="e">
        <f>AB36*R35*(MIN(AB34,Z34))*(MIN(AB34,Z34))</f>
        <v>#DIV/0!</v>
      </c>
      <c r="AF37" s="470" t="s">
        <v>187</v>
      </c>
      <c r="AG37" s="471"/>
      <c r="AH37" s="471"/>
      <c r="AI37" s="471"/>
      <c r="AJ37" s="471"/>
      <c r="AK37" s="471"/>
      <c r="AL37" s="471"/>
      <c r="AM37" s="471"/>
      <c r="AN37" s="471"/>
      <c r="AO37" s="471"/>
      <c r="AP37" s="471"/>
      <c r="AQ37" s="472"/>
    </row>
    <row r="38" spans="2:70" ht="20.100000000000001" customHeight="1" x14ac:dyDescent="0.25">
      <c r="B38" s="97" t="s">
        <v>100</v>
      </c>
      <c r="C38" s="19">
        <v>3535.65</v>
      </c>
      <c r="D38" s="466" t="s">
        <v>221</v>
      </c>
      <c r="E38" s="466"/>
      <c r="F38" s="91" t="s">
        <v>212</v>
      </c>
      <c r="G38" s="258" t="e">
        <f>H26</f>
        <v>#DIV/0!</v>
      </c>
      <c r="H38" s="91" t="s">
        <v>80</v>
      </c>
      <c r="I38" s="254" t="e">
        <f>J26</f>
        <v>#DIV/0!</v>
      </c>
      <c r="J38" s="66"/>
      <c r="K38" s="66"/>
      <c r="L38" s="66"/>
      <c r="M38" s="102"/>
      <c r="Q38" s="97" t="s">
        <v>100</v>
      </c>
      <c r="R38" s="67">
        <v>0</v>
      </c>
      <c r="S38" s="466" t="s">
        <v>221</v>
      </c>
      <c r="T38" s="466"/>
      <c r="U38" s="91" t="s">
        <v>212</v>
      </c>
      <c r="V38" s="258" t="e">
        <f>R35</f>
        <v>#DIV/0!</v>
      </c>
      <c r="W38" s="91" t="s">
        <v>80</v>
      </c>
      <c r="X38" s="254" t="e">
        <f>Y26</f>
        <v>#DIV/0!</v>
      </c>
      <c r="Y38" s="66"/>
      <c r="Z38" s="66"/>
      <c r="AA38" s="66"/>
      <c r="AB38" s="102"/>
      <c r="AF38" s="473" t="s">
        <v>217</v>
      </c>
      <c r="AG38" s="474"/>
      <c r="AH38" s="107"/>
      <c r="AI38" s="475" t="s">
        <v>286</v>
      </c>
      <c r="AJ38" s="475"/>
      <c r="AK38" s="475"/>
      <c r="AL38" s="475"/>
      <c r="AM38" s="76"/>
      <c r="AN38" s="476" t="s">
        <v>287</v>
      </c>
      <c r="AO38" s="476"/>
      <c r="AP38" s="476"/>
      <c r="AQ38" s="477"/>
    </row>
    <row r="39" spans="2:70" ht="20.100000000000001" customHeight="1" thickBot="1" x14ac:dyDescent="0.3">
      <c r="B39" s="467" t="s">
        <v>222</v>
      </c>
      <c r="C39" s="468"/>
      <c r="D39" s="469" t="e">
        <f>IF(G38&lt;=I38,"ok &gt;&gt;&gt;","error")</f>
        <v>#DIV/0!</v>
      </c>
      <c r="E39" s="469"/>
      <c r="F39" s="89" t="s">
        <v>107</v>
      </c>
      <c r="G39" s="259" t="e">
        <f>(2.11)*(SQRT(C38/F4))</f>
        <v>#DIV/0!</v>
      </c>
      <c r="H39" s="95" t="s">
        <v>108</v>
      </c>
      <c r="I39" s="18">
        <v>3</v>
      </c>
      <c r="J39" s="89"/>
      <c r="K39" s="89"/>
      <c r="L39" s="89"/>
      <c r="M39" s="96"/>
      <c r="Q39" s="467" t="s">
        <v>222</v>
      </c>
      <c r="R39" s="468"/>
      <c r="S39" s="469" t="e">
        <f>IF(V38&lt;=X38,"ok &gt;&gt;&gt;","error")</f>
        <v>#DIV/0!</v>
      </c>
      <c r="T39" s="469"/>
      <c r="U39" s="89" t="s">
        <v>107</v>
      </c>
      <c r="V39" s="259" t="e">
        <f>(2.11)*(SQRT(R38/F4))</f>
        <v>#DIV/0!</v>
      </c>
      <c r="W39" s="95" t="s">
        <v>108</v>
      </c>
      <c r="X39" s="140">
        <v>0</v>
      </c>
      <c r="Y39" s="89"/>
      <c r="Z39" s="89"/>
      <c r="AA39" s="89"/>
      <c r="AB39" s="96"/>
      <c r="AD39" s="34"/>
      <c r="AE39" s="34"/>
      <c r="AF39" s="310" t="s">
        <v>85</v>
      </c>
      <c r="AG39" s="67">
        <v>0</v>
      </c>
      <c r="AH39" s="66"/>
      <c r="AI39" s="298" t="s">
        <v>151</v>
      </c>
      <c r="AJ39" s="67">
        <v>0</v>
      </c>
      <c r="AK39" s="298" t="s">
        <v>152</v>
      </c>
      <c r="AL39" s="67">
        <v>0</v>
      </c>
      <c r="AM39" s="66"/>
      <c r="AN39" s="298" t="s">
        <v>87</v>
      </c>
      <c r="AO39" s="67">
        <v>0</v>
      </c>
      <c r="AP39" s="311" t="s">
        <v>88</v>
      </c>
      <c r="AQ39" s="141">
        <v>0</v>
      </c>
      <c r="BD39" s="34"/>
    </row>
    <row r="40" spans="2:70" ht="20.100000000000001" customHeight="1" thickBot="1" x14ac:dyDescent="0.3">
      <c r="Q40" s="80"/>
      <c r="R40" s="80"/>
      <c r="S40" s="80"/>
      <c r="T40" s="80"/>
      <c r="U40" s="80"/>
      <c r="V40" s="80"/>
      <c r="W40" s="80"/>
      <c r="X40" s="80"/>
      <c r="Y40" s="80"/>
      <c r="Z40" s="81"/>
      <c r="AA40" s="81"/>
      <c r="AB40" s="81"/>
      <c r="AF40" s="84" t="s">
        <v>212</v>
      </c>
      <c r="AG40" s="258" t="e">
        <f>AG33</f>
        <v>#DIV/0!</v>
      </c>
      <c r="AH40" s="66"/>
      <c r="AI40" s="66" t="s">
        <v>92</v>
      </c>
      <c r="AJ40" s="254" t="e">
        <f>AJ39/AL39</f>
        <v>#DIV/0!</v>
      </c>
      <c r="AK40" s="110" t="s">
        <v>218</v>
      </c>
      <c r="AL40" s="67">
        <v>0</v>
      </c>
      <c r="AM40" s="66"/>
      <c r="AN40" s="66" t="s">
        <v>102</v>
      </c>
      <c r="AO40" s="254" t="e">
        <f>AO39/AQ39</f>
        <v>#DIV/0!</v>
      </c>
      <c r="AP40" s="66"/>
      <c r="AQ40" s="78"/>
      <c r="BD40" s="34"/>
    </row>
    <row r="41" spans="2:70" ht="20.100000000000001" customHeight="1" thickBot="1" x14ac:dyDescent="0.3">
      <c r="B41" s="422" t="s">
        <v>257</v>
      </c>
      <c r="C41" s="423"/>
      <c r="D41" s="423"/>
      <c r="E41" s="423"/>
      <c r="F41" s="423"/>
      <c r="G41" s="424"/>
      <c r="Q41" s="422" t="s">
        <v>259</v>
      </c>
      <c r="R41" s="423"/>
      <c r="S41" s="423"/>
      <c r="T41" s="423"/>
      <c r="U41" s="423"/>
      <c r="V41" s="424"/>
      <c r="W41" s="80"/>
      <c r="X41" s="80"/>
      <c r="Y41" s="80"/>
      <c r="Z41" s="81"/>
      <c r="AA41" s="81"/>
      <c r="AB41" s="81"/>
      <c r="AF41" s="113" t="s">
        <v>86</v>
      </c>
      <c r="AG41" s="254" t="e">
        <f>(AG40*AG39*AG39)/2</f>
        <v>#DIV/0!</v>
      </c>
      <c r="AH41" s="66"/>
      <c r="AI41" s="66" t="s">
        <v>91</v>
      </c>
      <c r="AJ41" s="254" t="e">
        <f>IF((AJ40&lt;0.5),AG41,(AL40*AL39*AL39*AG40))</f>
        <v>#DIV/0!</v>
      </c>
      <c r="AK41" s="66"/>
      <c r="AL41" s="66"/>
      <c r="AM41" s="66"/>
      <c r="AN41" s="110" t="s">
        <v>219</v>
      </c>
      <c r="AO41" s="67">
        <v>0</v>
      </c>
      <c r="AP41" s="110" t="s">
        <v>220</v>
      </c>
      <c r="AQ41" s="141">
        <v>0</v>
      </c>
      <c r="BD41" s="34"/>
    </row>
    <row r="42" spans="2:70" ht="20.100000000000001" customHeight="1" thickBot="1" x14ac:dyDescent="0.3">
      <c r="B42" s="82" t="s">
        <v>223</v>
      </c>
      <c r="C42" s="143">
        <v>0</v>
      </c>
      <c r="D42" s="76" t="s">
        <v>224</v>
      </c>
      <c r="E42" s="143">
        <v>0</v>
      </c>
      <c r="F42" s="76" t="s">
        <v>225</v>
      </c>
      <c r="G42" s="145">
        <v>0</v>
      </c>
      <c r="Q42" s="82" t="s">
        <v>223</v>
      </c>
      <c r="R42" s="143">
        <v>0</v>
      </c>
      <c r="S42" s="76" t="s">
        <v>224</v>
      </c>
      <c r="T42" s="143">
        <v>0</v>
      </c>
      <c r="U42" s="76" t="s">
        <v>225</v>
      </c>
      <c r="V42" s="145">
        <v>0</v>
      </c>
      <c r="W42" s="80"/>
      <c r="X42" s="80"/>
      <c r="Y42" s="80"/>
      <c r="Z42" s="81"/>
      <c r="AA42" s="81"/>
      <c r="AB42" s="81"/>
      <c r="AF42" s="84"/>
      <c r="AG42" s="66"/>
      <c r="AH42" s="66"/>
      <c r="AI42" s="66"/>
      <c r="AJ42" s="66"/>
      <c r="AK42" s="93"/>
      <c r="AL42" s="66"/>
      <c r="AM42" s="92"/>
      <c r="AN42" s="311" t="s">
        <v>89</v>
      </c>
      <c r="AO42" s="254" t="e">
        <f>AO41*AG40*(MIN(AQ39,AO39))*(MIN(AQ39,AO39))</f>
        <v>#DIV/0!</v>
      </c>
      <c r="AP42" s="311" t="s">
        <v>90</v>
      </c>
      <c r="AQ42" s="255" t="e">
        <f>AQ41*AG40*(MIN(AQ39,AO39))*(MIN(AQ39,AO39))</f>
        <v>#DIV/0!</v>
      </c>
      <c r="BD42" s="34"/>
    </row>
    <row r="43" spans="2:70" ht="20.100000000000001" customHeight="1" thickBot="1" x14ac:dyDescent="0.3">
      <c r="B43" s="84" t="s">
        <v>283</v>
      </c>
      <c r="C43" s="67">
        <v>0</v>
      </c>
      <c r="D43" s="66" t="s">
        <v>229</v>
      </c>
      <c r="E43" s="260">
        <f>I39</f>
        <v>3</v>
      </c>
      <c r="F43" s="85" t="s">
        <v>30</v>
      </c>
      <c r="G43" s="141">
        <v>0</v>
      </c>
      <c r="H43" s="558" t="s">
        <v>194</v>
      </c>
      <c r="I43" s="558"/>
      <c r="J43" s="558"/>
      <c r="K43" s="558"/>
      <c r="L43" s="559"/>
      <c r="M43" s="541" t="s">
        <v>38</v>
      </c>
      <c r="N43" s="542"/>
      <c r="Q43" s="84" t="s">
        <v>283</v>
      </c>
      <c r="R43" s="67">
        <v>0</v>
      </c>
      <c r="S43" s="66" t="s">
        <v>229</v>
      </c>
      <c r="T43" s="260">
        <f>X39</f>
        <v>0</v>
      </c>
      <c r="U43" s="85" t="s">
        <v>30</v>
      </c>
      <c r="V43" s="141">
        <v>0</v>
      </c>
      <c r="W43" s="558" t="s">
        <v>194</v>
      </c>
      <c r="X43" s="558"/>
      <c r="Y43" s="558"/>
      <c r="Z43" s="558"/>
      <c r="AA43" s="559"/>
      <c r="AB43" s="541" t="s">
        <v>40</v>
      </c>
      <c r="AC43" s="542"/>
      <c r="AF43" s="97" t="s">
        <v>100</v>
      </c>
      <c r="AG43" s="67">
        <v>0</v>
      </c>
      <c r="AH43" s="466" t="s">
        <v>221</v>
      </c>
      <c r="AI43" s="466"/>
      <c r="AJ43" s="91" t="s">
        <v>212</v>
      </c>
      <c r="AK43" s="258" t="e">
        <f>AG40</f>
        <v>#DIV/0!</v>
      </c>
      <c r="AL43" s="91" t="s">
        <v>80</v>
      </c>
      <c r="AM43" s="254" t="e">
        <f>AN33</f>
        <v>#DIV/0!</v>
      </c>
      <c r="AN43" s="66"/>
      <c r="AO43" s="66"/>
      <c r="AP43" s="66"/>
      <c r="AQ43" s="102"/>
      <c r="BD43" s="34"/>
    </row>
    <row r="44" spans="2:70" ht="20.100000000000001" customHeight="1" thickBot="1" x14ac:dyDescent="0.3">
      <c r="B44" s="219" t="s">
        <v>111</v>
      </c>
      <c r="C44" s="67">
        <v>0</v>
      </c>
      <c r="D44" s="71" t="s">
        <v>132</v>
      </c>
      <c r="E44" s="67">
        <v>0</v>
      </c>
      <c r="F44" s="71" t="s">
        <v>133</v>
      </c>
      <c r="G44" s="141">
        <v>0</v>
      </c>
      <c r="H44" s="82" t="s">
        <v>125</v>
      </c>
      <c r="I44" s="263" t="e">
        <f>((E46)*K44)/E45</f>
        <v>#DIV/0!</v>
      </c>
      <c r="J44" s="76" t="s">
        <v>192</v>
      </c>
      <c r="K44" s="261" t="e">
        <f>((C43*E43)*(C45-(E43/2)))</f>
        <v>#DIV/0!</v>
      </c>
      <c r="L44" s="49"/>
      <c r="M44" s="517" t="s">
        <v>126</v>
      </c>
      <c r="N44" s="518"/>
      <c r="Q44" s="219" t="s">
        <v>111</v>
      </c>
      <c r="R44" s="67">
        <v>0</v>
      </c>
      <c r="S44" s="71" t="s">
        <v>132</v>
      </c>
      <c r="T44" s="67">
        <v>0</v>
      </c>
      <c r="U44" s="71" t="s">
        <v>133</v>
      </c>
      <c r="V44" s="141">
        <v>0</v>
      </c>
      <c r="W44" s="82" t="s">
        <v>125</v>
      </c>
      <c r="X44" s="263" t="e">
        <f>((T46)*Z44)/T45</f>
        <v>#DIV/0!</v>
      </c>
      <c r="Y44" s="76" t="s">
        <v>192</v>
      </c>
      <c r="Z44" s="261" t="e">
        <f>((R43*T43)*(R45-(T43/2)))</f>
        <v>#DIV/0!</v>
      </c>
      <c r="AA44" s="49"/>
      <c r="AB44" s="517" t="s">
        <v>126</v>
      </c>
      <c r="AC44" s="518"/>
      <c r="AF44" s="467" t="s">
        <v>222</v>
      </c>
      <c r="AG44" s="468"/>
      <c r="AH44" s="469" t="e">
        <f>IF(AK43&lt;=AM43,"ok &gt;&gt;&gt;","error")</f>
        <v>#DIV/0!</v>
      </c>
      <c r="AI44" s="469"/>
      <c r="AJ44" s="89" t="s">
        <v>107</v>
      </c>
      <c r="AK44" s="259" t="e">
        <f>(2.11)*(SQRT(AG43/F4))</f>
        <v>#DIV/0!</v>
      </c>
      <c r="AL44" s="95" t="s">
        <v>108</v>
      </c>
      <c r="AM44" s="140">
        <v>0</v>
      </c>
      <c r="AN44" s="89"/>
      <c r="AO44" s="89"/>
      <c r="AP44" s="89"/>
      <c r="AQ44" s="96"/>
    </row>
    <row r="45" spans="2:70" ht="20.100000000000001" customHeight="1" thickBot="1" x14ac:dyDescent="0.3">
      <c r="B45" s="84" t="s">
        <v>181</v>
      </c>
      <c r="C45" s="260" t="e">
        <f>((C42*E42*G42*(E43+(E42/2)))+(C43*E43*(E43/2)))/((C43*E43)+(C42*E42*G42))</f>
        <v>#DIV/0!</v>
      </c>
      <c r="D45" s="66" t="s">
        <v>109</v>
      </c>
      <c r="E45" s="266" t="e">
        <f>(((C43*E43*E43*E43)/12)+((C43*E43)*(C45-(E43/2))*(C45-(E43/2))))+(C42*(((G42*E42*E42*E42)/12)+((E42*G42)*(((E42/2)+E43)-C45)*(((E42/2)+E43)-C45))))</f>
        <v>#DIV/0!</v>
      </c>
      <c r="F45" s="66" t="s">
        <v>112</v>
      </c>
      <c r="G45" s="265" t="e">
        <f>((C43*E43)*(ABS((C45-(E43/2)))))+(C42*(ABS(((E42+E43)-C45))*G42)*(ABS(((E42+E43)-C45)/2)))+(C42*(ABS((C45-E43))*G42)*(ABS((C45-E43)/2)))</f>
        <v>#DIV/0!</v>
      </c>
      <c r="H45" s="84"/>
      <c r="I45" s="101" t="s">
        <v>232</v>
      </c>
      <c r="J45" s="262" t="str">
        <f>(ROUND(0.75*0.6*G44*0.707*E44,2))&amp;"a"</f>
        <v>0a</v>
      </c>
      <c r="K45" s="101" t="s">
        <v>233</v>
      </c>
      <c r="L45" s="102"/>
      <c r="M45" s="58" t="s">
        <v>123</v>
      </c>
      <c r="N45" s="57" t="s">
        <v>124</v>
      </c>
      <c r="Q45" s="84" t="s">
        <v>181</v>
      </c>
      <c r="R45" s="260" t="e">
        <f>((R42*T42*V42*(T43+(T42/2)))+(R43*T43*(T43/2)))/((R43*T43)+(R42*T42*V42))</f>
        <v>#DIV/0!</v>
      </c>
      <c r="S45" s="66" t="s">
        <v>109</v>
      </c>
      <c r="T45" s="266" t="e">
        <f>(((R43*T43*T43*T43)/12)+((R43*T43)*(R45-(T43/2))*(R45-(T43/2))))+(R42*(((V42*T42*T42*T42)/12)+((T42*V42)*(((T42/2)+T43)-R45)*(((T42/2)+T43)-R45))))</f>
        <v>#DIV/0!</v>
      </c>
      <c r="U45" s="66" t="s">
        <v>112</v>
      </c>
      <c r="V45" s="265" t="e">
        <f>((R43*T43)*(ABS((R45-(T43/2)))))+(R42*(ABS(((T42+T43)-R45))*V42)*(ABS(((T42+T43)-R45)/2)))+(R42*(ABS((R45-T43))*V42)*(ABS((R45-T43)/2)))</f>
        <v>#DIV/0!</v>
      </c>
      <c r="W45" s="84"/>
      <c r="X45" s="101" t="s">
        <v>232</v>
      </c>
      <c r="Y45" s="262" t="str">
        <f>(ROUND(0.75*0.6*V44*0.707*T44,2))&amp;"a"</f>
        <v>0a</v>
      </c>
      <c r="Z45" s="101" t="s">
        <v>233</v>
      </c>
      <c r="AA45" s="102"/>
      <c r="AB45" s="58" t="s">
        <v>123</v>
      </c>
      <c r="AC45" s="57" t="s">
        <v>124</v>
      </c>
      <c r="BQ45" s="80"/>
      <c r="BR45" s="80"/>
    </row>
    <row r="46" spans="2:70" ht="20.100000000000001" customHeight="1" thickBot="1" x14ac:dyDescent="0.3">
      <c r="B46" s="84" t="s">
        <v>110</v>
      </c>
      <c r="C46" s="267" t="e">
        <f>(G38*C43*C44*C44)/2</f>
        <v>#DIV/0!</v>
      </c>
      <c r="D46" s="66" t="s">
        <v>113</v>
      </c>
      <c r="E46" s="266" t="e">
        <f>(G38*C43*C44)</f>
        <v>#DIV/0!</v>
      </c>
      <c r="F46" s="66"/>
      <c r="G46" s="78"/>
      <c r="H46" s="88"/>
      <c r="I46" s="560" t="s">
        <v>193</v>
      </c>
      <c r="J46" s="560"/>
      <c r="K46" s="264" t="e">
        <f>I44/(0.75*0.6*G44*0.707*E44)</f>
        <v>#DIV/0!</v>
      </c>
      <c r="L46" s="96"/>
      <c r="M46" s="13">
        <f>IF((M47&lt;=0.6),0.3,(IF((M47&gt;0.6)*AND(M47&lt;=1.2),0.5,(IF((1.2&lt;M47)*AND(M47&lt;=2),0.6,(IF((M47&gt;2),0.8,"error")))))))</f>
        <v>0.3</v>
      </c>
      <c r="N46" s="39">
        <f>IF(M47&lt;=0.6,M47,(M47-0.2))</f>
        <v>0</v>
      </c>
      <c r="Q46" s="84" t="s">
        <v>110</v>
      </c>
      <c r="R46" s="267" t="e">
        <f>(V38*R43*R44*R44)/2</f>
        <v>#DIV/0!</v>
      </c>
      <c r="S46" s="66" t="s">
        <v>113</v>
      </c>
      <c r="T46" s="266" t="e">
        <f>(V38*R43*R44)</f>
        <v>#DIV/0!</v>
      </c>
      <c r="U46" s="66"/>
      <c r="V46" s="78"/>
      <c r="W46" s="88"/>
      <c r="X46" s="560" t="s">
        <v>193</v>
      </c>
      <c r="Y46" s="560"/>
      <c r="Z46" s="264" t="e">
        <f>X44/(0.75*0.6*V44*0.707*T44)</f>
        <v>#DIV/0!</v>
      </c>
      <c r="AA46" s="96"/>
      <c r="AB46" s="13">
        <f>IF((AB47&lt;=0.6),0.3,(IF((AB47&gt;0.6)*AND(AB47&lt;=1.2),0.5,(IF((1.2&lt;AB47)*AND(AB47&lt;=2),0.6,(IF((AB47&gt;2),0.8,"error")))))))</f>
        <v>0.3</v>
      </c>
      <c r="AC46" s="39">
        <f>IF(AB47&lt;=0.6,AB47,(AB47-0.2))</f>
        <v>0</v>
      </c>
      <c r="AF46" s="422" t="s">
        <v>258</v>
      </c>
      <c r="AG46" s="423"/>
      <c r="AH46" s="423"/>
      <c r="AI46" s="423"/>
      <c r="AJ46" s="423"/>
      <c r="AK46" s="424"/>
      <c r="AL46" s="34"/>
      <c r="AM46" s="34"/>
      <c r="AN46" s="34"/>
      <c r="AO46" s="34"/>
      <c r="AP46" s="34"/>
      <c r="BQ46" s="80"/>
      <c r="BR46" s="80"/>
    </row>
    <row r="47" spans="2:70" ht="20.100000000000001" customHeight="1" thickBot="1" x14ac:dyDescent="0.3">
      <c r="B47" s="103" t="s">
        <v>190</v>
      </c>
      <c r="C47" s="466" t="s">
        <v>234</v>
      </c>
      <c r="D47" s="466"/>
      <c r="E47" s="66" t="e">
        <f>IF(((H5*G45*F4)&lt;(C46)),"error","ok")</f>
        <v>#DIV/0!</v>
      </c>
      <c r="F47" s="66"/>
      <c r="G47" s="78"/>
      <c r="M47" s="56">
        <f>IF((G42)&lt;=E43,G42,E43)</f>
        <v>0</v>
      </c>
      <c r="Q47" s="103" t="s">
        <v>190</v>
      </c>
      <c r="R47" s="466" t="s">
        <v>234</v>
      </c>
      <c r="S47" s="466"/>
      <c r="T47" s="66" t="e">
        <f>IF(((H5*V45*F4)&lt;(R46)),"error","ok")</f>
        <v>#DIV/0!</v>
      </c>
      <c r="U47" s="101"/>
      <c r="V47" s="78"/>
      <c r="W47" s="80"/>
      <c r="X47" s="80"/>
      <c r="Y47" s="80"/>
      <c r="Z47" s="81"/>
      <c r="AA47" s="81"/>
      <c r="AB47" s="56">
        <f>IF((V42)&lt;=T43,V42,T43)</f>
        <v>0</v>
      </c>
      <c r="AF47" s="82" t="s">
        <v>223</v>
      </c>
      <c r="AG47" s="143">
        <v>0</v>
      </c>
      <c r="AH47" s="76" t="s">
        <v>224</v>
      </c>
      <c r="AI47" s="143">
        <v>0</v>
      </c>
      <c r="AJ47" s="76" t="s">
        <v>225</v>
      </c>
      <c r="AK47" s="145">
        <v>0</v>
      </c>
      <c r="AL47" s="34"/>
      <c r="AM47" s="34"/>
      <c r="AN47" s="34"/>
      <c r="AO47" s="34"/>
      <c r="AP47" s="34"/>
      <c r="BQ47" s="80"/>
      <c r="BR47" s="80"/>
    </row>
    <row r="48" spans="2:70" ht="20.100000000000001" customHeight="1" thickBot="1" x14ac:dyDescent="0.3">
      <c r="B48" s="104" t="s">
        <v>191</v>
      </c>
      <c r="C48" s="469" t="s">
        <v>215</v>
      </c>
      <c r="D48" s="469"/>
      <c r="E48" s="89" t="e">
        <f>IF(((G43*0.6*F4*((E43+E42)*((C42*G42)+C43)))&lt;(E46)),"error","ok")</f>
        <v>#DIV/0!</v>
      </c>
      <c r="F48" s="105"/>
      <c r="G48" s="106"/>
      <c r="Q48" s="104" t="s">
        <v>191</v>
      </c>
      <c r="R48" s="469" t="s">
        <v>215</v>
      </c>
      <c r="S48" s="469"/>
      <c r="T48" s="89" t="e">
        <f>IF(((V43*0.6*F4*((T43+T42)*((R42*V42)+R43)))&lt;(T46)),"error","ok")</f>
        <v>#DIV/0!</v>
      </c>
      <c r="U48" s="105"/>
      <c r="V48" s="106"/>
      <c r="W48" s="80"/>
      <c r="X48" s="80"/>
      <c r="Y48" s="80"/>
      <c r="Z48" s="81"/>
      <c r="AA48" s="81"/>
      <c r="AB48" s="81"/>
      <c r="AF48" s="84" t="s">
        <v>283</v>
      </c>
      <c r="AG48" s="67">
        <v>0</v>
      </c>
      <c r="AH48" s="66" t="s">
        <v>229</v>
      </c>
      <c r="AI48" s="260">
        <f>AM44</f>
        <v>0</v>
      </c>
      <c r="AJ48" s="85" t="s">
        <v>30</v>
      </c>
      <c r="AK48" s="141">
        <v>0</v>
      </c>
      <c r="AL48" s="558" t="s">
        <v>194</v>
      </c>
      <c r="AM48" s="558"/>
      <c r="AN48" s="558"/>
      <c r="AO48" s="558"/>
      <c r="AP48" s="559"/>
      <c r="AQ48" s="541" t="s">
        <v>39</v>
      </c>
      <c r="AR48" s="542"/>
      <c r="BQ48" s="80"/>
      <c r="BR48" s="80"/>
    </row>
    <row r="49" spans="8:70" ht="20.100000000000001" customHeight="1" thickBot="1" x14ac:dyDescent="0.3">
      <c r="AF49" s="219" t="s">
        <v>111</v>
      </c>
      <c r="AG49" s="67">
        <v>0</v>
      </c>
      <c r="AH49" s="71" t="s">
        <v>132</v>
      </c>
      <c r="AI49" s="67">
        <v>0</v>
      </c>
      <c r="AJ49" s="71" t="s">
        <v>133</v>
      </c>
      <c r="AK49" s="141">
        <v>0</v>
      </c>
      <c r="AL49" s="116" t="s">
        <v>125</v>
      </c>
      <c r="AM49" s="263" t="e">
        <f>((AI51)*AO49)/AI50</f>
        <v>#DIV/0!</v>
      </c>
      <c r="AN49" s="76" t="s">
        <v>192</v>
      </c>
      <c r="AO49" s="261" t="e">
        <f>((AG48*AI48)*(AG50-(AI48/2)))</f>
        <v>#DIV/0!</v>
      </c>
      <c r="AP49" s="49"/>
      <c r="AQ49" s="517" t="s">
        <v>126</v>
      </c>
      <c r="AR49" s="518"/>
      <c r="BQ49" s="80"/>
      <c r="BR49" s="80"/>
    </row>
    <row r="50" spans="8:70" ht="20.100000000000001" customHeight="1" x14ac:dyDescent="0.25">
      <c r="AF50" s="84" t="s">
        <v>181</v>
      </c>
      <c r="AG50" s="260" t="e">
        <f>((AG47*AI47*AK47*(AI48+(AI47/2)))+(AG48*AI48*(AI48/2)))/((AG48*AI48)+(AG47*AI47*AK47))</f>
        <v>#DIV/0!</v>
      </c>
      <c r="AH50" s="66" t="s">
        <v>109</v>
      </c>
      <c r="AI50" s="266" t="e">
        <f>(((AG48*AI48*AI48*AI48)/12)+((AG48*AI48)*(AG50-(AI48/2))*(AG50-(AI48/2))))+(AG47*(((AK47*AI47*AI47*AI47)/12)+((AI47*AK47)*(((AI47/2)+AI48)-AG50)*(((AI47/2)+AI48)-AG50))))</f>
        <v>#DIV/0!</v>
      </c>
      <c r="AJ50" s="66" t="s">
        <v>112</v>
      </c>
      <c r="AK50" s="265" t="e">
        <f>((AG48*AI48)*(ABS((AG50-(AI48/2)))))+(AG47*(ABS(((AI47+AI48)-AG50))*AK47)*(ABS(((AI47+AI48)-AG50)/2)))+(AG47*(ABS((AG50-AI48))*AK47)*(ABS((AG50-AI48)/2)))</f>
        <v>#DIV/0!</v>
      </c>
      <c r="AL50" s="117"/>
      <c r="AM50" s="101" t="s">
        <v>232</v>
      </c>
      <c r="AN50" s="262" t="str">
        <f>(ROUND(0.75*0.6*AK49*0.707*AI49,2))&amp;"a"</f>
        <v>0a</v>
      </c>
      <c r="AO50" s="101" t="s">
        <v>233</v>
      </c>
      <c r="AP50" s="102"/>
      <c r="AQ50" s="58" t="s">
        <v>123</v>
      </c>
      <c r="AR50" s="57" t="s">
        <v>124</v>
      </c>
      <c r="BQ50" s="80"/>
      <c r="BR50" s="80"/>
    </row>
    <row r="51" spans="8:70" ht="20.100000000000001" customHeight="1" thickBot="1" x14ac:dyDescent="0.3">
      <c r="AF51" s="84" t="s">
        <v>110</v>
      </c>
      <c r="AG51" s="267" t="e">
        <f>(AK43*AG48*AG49*AG49)/2</f>
        <v>#DIV/0!</v>
      </c>
      <c r="AH51" s="66" t="s">
        <v>113</v>
      </c>
      <c r="AI51" s="266" t="e">
        <f>(AK43*AG48*AG49)</f>
        <v>#DIV/0!</v>
      </c>
      <c r="AJ51" s="66"/>
      <c r="AK51" s="78"/>
      <c r="AL51" s="118"/>
      <c r="AM51" s="560" t="s">
        <v>193</v>
      </c>
      <c r="AN51" s="560"/>
      <c r="AO51" s="264" t="e">
        <f>AM49/(0.75*0.6*AK49*0.707*AI49)</f>
        <v>#DIV/0!</v>
      </c>
      <c r="AP51" s="96"/>
      <c r="AQ51" s="13">
        <f>IF((AQ52&lt;=0.6),0.3,(IF((AQ52&gt;0.6)*AND(AQ52&lt;=1.2),0.5,(IF((1.2&lt;AQ52)*AND(AQ52&lt;=2),0.6,(IF((AQ52&gt;2),0.8,"error")))))))</f>
        <v>0.3</v>
      </c>
      <c r="AR51" s="39">
        <f>IF(AQ52&lt;=0.6,AQ52,(AQ52-0.2))</f>
        <v>0</v>
      </c>
      <c r="BQ51" s="80"/>
      <c r="BR51" s="80"/>
    </row>
    <row r="52" spans="8:70" ht="20.100000000000001" customHeight="1" x14ac:dyDescent="0.25">
      <c r="AF52" s="103" t="s">
        <v>190</v>
      </c>
      <c r="AG52" s="466" t="s">
        <v>234</v>
      </c>
      <c r="AH52" s="466"/>
      <c r="AI52" s="66" t="e">
        <f>IF(((H5*AK50*F4)&lt;(AG51)),"error","ok")</f>
        <v>#DIV/0!</v>
      </c>
      <c r="AJ52" s="66"/>
      <c r="AK52" s="78"/>
      <c r="AL52" s="34"/>
      <c r="AM52" s="34"/>
      <c r="AN52" s="34"/>
      <c r="AO52" s="34"/>
      <c r="AP52" s="34"/>
      <c r="AQ52" s="56">
        <f>IF((AK47)&lt;=AI48,AK47,AI48)</f>
        <v>0</v>
      </c>
      <c r="BQ52" s="80"/>
      <c r="BR52" s="80"/>
    </row>
    <row r="53" spans="8:70" ht="20.100000000000001" customHeight="1" thickBot="1" x14ac:dyDescent="0.3">
      <c r="AF53" s="104" t="s">
        <v>191</v>
      </c>
      <c r="AG53" s="469" t="s">
        <v>215</v>
      </c>
      <c r="AH53" s="469"/>
      <c r="AI53" s="89" t="e">
        <f>IF(((AK48*0.6*F4*((AI48+AI47)*((AG47*AK47)+AG48)))&lt;(AI51)),"error","ok")</f>
        <v>#DIV/0!</v>
      </c>
      <c r="AJ53" s="105"/>
      <c r="AK53" s="106"/>
      <c r="AL53" s="34"/>
      <c r="AM53" s="34"/>
      <c r="AN53" s="34"/>
      <c r="AO53" s="34"/>
      <c r="AP53" s="34"/>
      <c r="BQ53" s="80"/>
      <c r="BR53" s="80"/>
    </row>
    <row r="54" spans="8:70" ht="20.100000000000001" customHeight="1" thickBot="1" x14ac:dyDescent="0.3">
      <c r="BQ54" s="80"/>
      <c r="BR54" s="80"/>
    </row>
    <row r="55" spans="8:70" ht="20.100000000000001" customHeight="1" thickBot="1" x14ac:dyDescent="0.3">
      <c r="H55" s="426" t="s">
        <v>262</v>
      </c>
      <c r="I55" s="427"/>
      <c r="J55" s="427"/>
      <c r="K55" s="427"/>
      <c r="L55" s="427"/>
      <c r="M55" s="427"/>
      <c r="N55" s="427"/>
      <c r="O55" s="427"/>
      <c r="P55" s="427"/>
      <c r="Q55" s="427"/>
      <c r="R55" s="427"/>
      <c r="S55" s="428"/>
      <c r="AA55" s="80"/>
      <c r="AB55" s="80"/>
      <c r="AF55" s="426" t="s">
        <v>263</v>
      </c>
      <c r="AG55" s="427"/>
      <c r="AH55" s="427"/>
      <c r="AI55" s="427"/>
      <c r="AJ55" s="427"/>
      <c r="AK55" s="427"/>
      <c r="AL55" s="427"/>
      <c r="AM55" s="427"/>
      <c r="AN55" s="427"/>
      <c r="AO55" s="427"/>
      <c r="AP55" s="427"/>
      <c r="AQ55" s="428"/>
      <c r="BQ55" s="80"/>
      <c r="BR55" s="80"/>
    </row>
    <row r="56" spans="8:70" ht="20.100000000000001" customHeight="1" thickBot="1" x14ac:dyDescent="0.3">
      <c r="H56" s="130" t="s">
        <v>164</v>
      </c>
      <c r="I56" s="147">
        <v>0</v>
      </c>
      <c r="J56" s="41" t="s">
        <v>165</v>
      </c>
      <c r="K56" s="161">
        <v>0</v>
      </c>
      <c r="L56" s="41" t="s">
        <v>168</v>
      </c>
      <c r="M56" s="140">
        <v>0</v>
      </c>
      <c r="N56" s="231" t="s">
        <v>182</v>
      </c>
      <c r="O56" s="161">
        <v>0</v>
      </c>
      <c r="P56" s="137" t="s">
        <v>26</v>
      </c>
      <c r="Q56" s="140">
        <v>0</v>
      </c>
      <c r="R56" s="119" t="s">
        <v>230</v>
      </c>
      <c r="S56" s="148">
        <v>0</v>
      </c>
      <c r="AA56" s="80"/>
      <c r="AB56" s="80"/>
      <c r="AF56" s="75" t="s">
        <v>164</v>
      </c>
      <c r="AG56" s="107" t="e">
        <f>AI33</f>
        <v>#DIV/0!</v>
      </c>
      <c r="AH56" s="41" t="s">
        <v>165</v>
      </c>
      <c r="AI56" s="161">
        <v>0</v>
      </c>
      <c r="AJ56" s="41" t="s">
        <v>168</v>
      </c>
      <c r="AK56" s="67">
        <v>0</v>
      </c>
      <c r="AL56" s="231" t="s">
        <v>182</v>
      </c>
      <c r="AM56" s="161">
        <v>0</v>
      </c>
      <c r="AN56" s="84" t="s">
        <v>230</v>
      </c>
      <c r="AO56" s="92">
        <f>AI27</f>
        <v>0</v>
      </c>
      <c r="AP56" s="3" t="s">
        <v>26</v>
      </c>
      <c r="AQ56" s="141">
        <v>0</v>
      </c>
      <c r="BQ56" s="80"/>
      <c r="BR56" s="80"/>
    </row>
    <row r="57" spans="8:70" ht="20.100000000000001" customHeight="1" thickBot="1" x14ac:dyDescent="0.3">
      <c r="H57" s="131" t="s">
        <v>166</v>
      </c>
      <c r="I57" s="146">
        <v>0</v>
      </c>
      <c r="J57" s="135" t="s">
        <v>2</v>
      </c>
      <c r="K57" s="67">
        <v>0</v>
      </c>
      <c r="L57" s="136" t="s">
        <v>27</v>
      </c>
      <c r="M57" s="67">
        <v>0</v>
      </c>
      <c r="N57" s="2" t="s">
        <v>167</v>
      </c>
      <c r="O57" s="67">
        <v>0</v>
      </c>
      <c r="P57" s="2" t="s">
        <v>32</v>
      </c>
      <c r="Q57" s="67">
        <v>0</v>
      </c>
      <c r="R57" s="2" t="s">
        <v>33</v>
      </c>
      <c r="S57" s="140">
        <v>0</v>
      </c>
      <c r="U57" s="541" t="s">
        <v>249</v>
      </c>
      <c r="V57" s="571"/>
      <c r="W57" s="571"/>
      <c r="X57" s="571"/>
      <c r="Y57" s="571"/>
      <c r="Z57" s="571"/>
      <c r="AA57" s="571"/>
      <c r="AB57" s="571"/>
      <c r="AC57" s="571"/>
      <c r="AD57" s="542"/>
      <c r="AF57" s="77" t="s">
        <v>166</v>
      </c>
      <c r="AG57" s="67">
        <v>0</v>
      </c>
      <c r="AH57" s="42" t="s">
        <v>2</v>
      </c>
      <c r="AI57" s="67">
        <v>0</v>
      </c>
      <c r="AJ57" s="60" t="s">
        <v>27</v>
      </c>
      <c r="AK57" s="281">
        <f>AG27</f>
        <v>0</v>
      </c>
      <c r="AL57" s="2" t="s">
        <v>167</v>
      </c>
      <c r="AM57" s="67">
        <v>0</v>
      </c>
      <c r="AN57" s="2" t="s">
        <v>32</v>
      </c>
      <c r="AO57" s="67">
        <v>0</v>
      </c>
      <c r="AP57" s="2" t="s">
        <v>33</v>
      </c>
      <c r="AQ57" s="141">
        <v>0</v>
      </c>
      <c r="BQ57" s="80"/>
      <c r="BR57" s="80"/>
    </row>
    <row r="58" spans="8:70" ht="20.100000000000001" customHeight="1" thickBot="1" x14ac:dyDescent="0.3">
      <c r="H58" s="129" t="s">
        <v>11</v>
      </c>
      <c r="I58" s="277">
        <v>0.75</v>
      </c>
      <c r="J58" s="2" t="s">
        <v>11</v>
      </c>
      <c r="K58" s="140">
        <v>0</v>
      </c>
      <c r="L58" s="500"/>
      <c r="M58" s="500"/>
      <c r="N58" s="500"/>
      <c r="O58" s="500"/>
      <c r="P58" s="500"/>
      <c r="Q58" s="500"/>
      <c r="R58" s="500"/>
      <c r="S58" s="501"/>
      <c r="U58" s="108" t="s">
        <v>12</v>
      </c>
      <c r="V58" s="109" t="s">
        <v>48</v>
      </c>
      <c r="W58" s="10" t="s">
        <v>12</v>
      </c>
      <c r="X58" s="109" t="s">
        <v>13</v>
      </c>
      <c r="Y58" s="10" t="s">
        <v>14</v>
      </c>
      <c r="Z58" s="524" t="s">
        <v>15</v>
      </c>
      <c r="AA58" s="525"/>
      <c r="AB58" s="526"/>
      <c r="AC58" s="3" t="s">
        <v>26</v>
      </c>
      <c r="AD58" s="150">
        <v>0</v>
      </c>
      <c r="AE58" s="241"/>
      <c r="AF58" s="160" t="s">
        <v>247</v>
      </c>
      <c r="AG58" s="67">
        <v>0</v>
      </c>
      <c r="AH58" s="240"/>
      <c r="AI58" s="240"/>
      <c r="AJ58" s="593"/>
      <c r="AK58" s="593"/>
      <c r="AL58" s="593"/>
      <c r="AM58" s="593"/>
      <c r="AN58" s="593"/>
      <c r="AO58" s="593"/>
      <c r="AP58" s="593"/>
      <c r="AQ58" s="594"/>
      <c r="BQ58" s="80"/>
      <c r="BR58" s="80"/>
    </row>
    <row r="59" spans="8:70" ht="20.100000000000001" customHeight="1" thickBot="1" x14ac:dyDescent="0.3">
      <c r="H59" s="504"/>
      <c r="I59" s="502"/>
      <c r="J59" s="502"/>
      <c r="K59" s="502"/>
      <c r="L59" s="502"/>
      <c r="M59" s="502"/>
      <c r="N59" s="502"/>
      <c r="O59" s="502"/>
      <c r="P59" s="502"/>
      <c r="Q59" s="502"/>
      <c r="R59" s="502"/>
      <c r="S59" s="503"/>
      <c r="U59" s="111">
        <f>0.75*AD58</f>
        <v>0</v>
      </c>
      <c r="V59" s="85" t="s">
        <v>49</v>
      </c>
      <c r="W59" s="112">
        <f>0.45*AD58</f>
        <v>0</v>
      </c>
      <c r="X59" s="85" t="s">
        <v>16</v>
      </c>
      <c r="Y59" s="85">
        <v>1</v>
      </c>
      <c r="Z59" s="383" t="s">
        <v>17</v>
      </c>
      <c r="AA59" s="383"/>
      <c r="AB59" s="383"/>
      <c r="AC59" s="383"/>
      <c r="AD59" s="384"/>
      <c r="AF59" s="242" t="s">
        <v>11</v>
      </c>
      <c r="AG59" s="277">
        <v>0.75</v>
      </c>
      <c r="AH59" s="243" t="s">
        <v>11</v>
      </c>
      <c r="AI59" s="140">
        <v>0</v>
      </c>
      <c r="AJ59" s="595"/>
      <c r="AK59" s="595"/>
      <c r="AL59" s="595"/>
      <c r="AM59" s="595"/>
      <c r="AN59" s="595"/>
      <c r="AO59" s="595"/>
      <c r="AP59" s="595"/>
      <c r="AQ59" s="596"/>
      <c r="BQ59" s="80"/>
      <c r="BR59" s="80"/>
    </row>
    <row r="60" spans="8:70" ht="20.100000000000001" customHeight="1" thickBot="1" x14ac:dyDescent="0.3">
      <c r="H60" s="539"/>
      <c r="I60" s="268"/>
      <c r="J60" s="268"/>
      <c r="K60" s="268" t="s">
        <v>235</v>
      </c>
      <c r="L60" s="276" t="e">
        <f>I56/S56</f>
        <v>#DIV/0!</v>
      </c>
      <c r="M60" s="76" t="s">
        <v>237</v>
      </c>
      <c r="N60" s="276" t="e">
        <f>I57/K57</f>
        <v>#DIV/0!</v>
      </c>
      <c r="O60" s="268" t="s">
        <v>236</v>
      </c>
      <c r="P60" s="276">
        <f>(3.14*M57*M57)/4</f>
        <v>0</v>
      </c>
      <c r="Q60" s="268"/>
      <c r="R60" s="561"/>
      <c r="S60" s="562"/>
      <c r="U60" s="111">
        <f>0.75*AD58</f>
        <v>0</v>
      </c>
      <c r="V60" s="85" t="s">
        <v>49</v>
      </c>
      <c r="W60" s="112">
        <f>0.45*AD58</f>
        <v>0</v>
      </c>
      <c r="X60" s="66" t="s">
        <v>18</v>
      </c>
      <c r="Y60" s="66">
        <v>2</v>
      </c>
      <c r="Z60" s="383" t="s">
        <v>19</v>
      </c>
      <c r="AA60" s="383"/>
      <c r="AB60" s="383"/>
      <c r="AC60" s="383"/>
      <c r="AD60" s="384"/>
      <c r="AF60" s="612"/>
      <c r="AG60" s="613"/>
      <c r="AH60" s="613"/>
      <c r="AI60" s="613"/>
      <c r="AJ60" s="613"/>
      <c r="AK60" s="613"/>
      <c r="AL60" s="613"/>
      <c r="AM60" s="613"/>
      <c r="AN60" s="613"/>
      <c r="AO60" s="613"/>
      <c r="AP60" s="613"/>
      <c r="AQ60" s="614"/>
      <c r="BQ60" s="80"/>
      <c r="BR60" s="80"/>
    </row>
    <row r="61" spans="8:70" ht="20.100000000000001" customHeight="1" thickBot="1" x14ac:dyDescent="0.3">
      <c r="H61" s="540"/>
      <c r="I61" s="547" t="s">
        <v>62</v>
      </c>
      <c r="J61" s="548"/>
      <c r="K61" s="548"/>
      <c r="L61" s="549"/>
      <c r="M61" s="555" t="s">
        <v>63</v>
      </c>
      <c r="N61" s="547" t="s">
        <v>61</v>
      </c>
      <c r="O61" s="548"/>
      <c r="P61" s="548"/>
      <c r="Q61" s="549"/>
      <c r="R61" s="563"/>
      <c r="S61" s="564"/>
      <c r="U61" s="111">
        <f>0.75*AD58</f>
        <v>0</v>
      </c>
      <c r="V61" s="85" t="s">
        <v>49</v>
      </c>
      <c r="W61" s="112">
        <f>0.55*AD58</f>
        <v>0</v>
      </c>
      <c r="X61" s="66" t="s">
        <v>20</v>
      </c>
      <c r="Y61" s="66">
        <v>3</v>
      </c>
      <c r="Z61" s="383" t="s">
        <v>21</v>
      </c>
      <c r="AA61" s="383"/>
      <c r="AB61" s="383"/>
      <c r="AC61" s="383"/>
      <c r="AD61" s="384"/>
      <c r="AF61" s="540"/>
      <c r="AG61" s="609"/>
      <c r="AH61" s="283"/>
      <c r="AI61" s="283" t="s">
        <v>235</v>
      </c>
      <c r="AJ61" s="284" t="e">
        <f>(AG56+AG58)/AO56</f>
        <v>#DIV/0!</v>
      </c>
      <c r="AK61" s="283" t="s">
        <v>237</v>
      </c>
      <c r="AL61" s="275" t="e">
        <f>AG57/AI57</f>
        <v>#DIV/0!</v>
      </c>
      <c r="AM61" s="283" t="s">
        <v>236</v>
      </c>
      <c r="AN61" s="284">
        <f>(3.14*AK57*AK57)/4</f>
        <v>0</v>
      </c>
      <c r="AO61" s="285"/>
      <c r="AP61" s="285"/>
      <c r="AQ61" s="568"/>
      <c r="BQ61" s="80"/>
      <c r="BR61" s="80"/>
    </row>
    <row r="62" spans="8:70" ht="20.100000000000001" customHeight="1" thickBot="1" x14ac:dyDescent="0.3">
      <c r="H62" s="540"/>
      <c r="I62" s="550" t="s">
        <v>206</v>
      </c>
      <c r="J62" s="550"/>
      <c r="K62" s="550"/>
      <c r="L62" s="269">
        <f>P60*I58*M56</f>
        <v>0</v>
      </c>
      <c r="M62" s="556"/>
      <c r="N62" s="550" t="s">
        <v>207</v>
      </c>
      <c r="O62" s="550"/>
      <c r="P62" s="550"/>
      <c r="Q62" s="269">
        <f>Q57*S57*1.13*O57*K58*(0.55*P60*Q56)</f>
        <v>0</v>
      </c>
      <c r="R62" s="563"/>
      <c r="S62" s="564"/>
      <c r="U62" s="111">
        <f>0.75*AD58</f>
        <v>0</v>
      </c>
      <c r="V62" s="85" t="s">
        <v>49</v>
      </c>
      <c r="W62" s="112">
        <f>0.45*AD58</f>
        <v>0</v>
      </c>
      <c r="X62" s="66" t="s">
        <v>22</v>
      </c>
      <c r="Y62" s="66">
        <v>4</v>
      </c>
      <c r="Z62" s="383" t="s">
        <v>23</v>
      </c>
      <c r="AA62" s="383"/>
      <c r="AB62" s="383"/>
      <c r="AC62" s="383"/>
      <c r="AD62" s="384"/>
      <c r="AF62" s="540"/>
      <c r="AG62" s="563"/>
      <c r="AH62" s="600" t="s">
        <v>62</v>
      </c>
      <c r="AI62" s="601"/>
      <c r="AJ62" s="601"/>
      <c r="AK62" s="602"/>
      <c r="AL62" s="603" t="s">
        <v>106</v>
      </c>
      <c r="AM62" s="600" t="s">
        <v>61</v>
      </c>
      <c r="AN62" s="601"/>
      <c r="AO62" s="601"/>
      <c r="AP62" s="602"/>
      <c r="AQ62" s="569"/>
      <c r="BQ62" s="80"/>
      <c r="BR62" s="80"/>
    </row>
    <row r="63" spans="8:70" ht="20.100000000000001" customHeight="1" thickBot="1" x14ac:dyDescent="0.3">
      <c r="H63" s="540"/>
      <c r="I63" s="466" t="s">
        <v>238</v>
      </c>
      <c r="J63" s="466"/>
      <c r="K63" s="66" t="s">
        <v>8</v>
      </c>
      <c r="L63" s="254" t="e">
        <f>IF(((N60)&lt;=(L62)),"ok","error")</f>
        <v>#DIV/0!</v>
      </c>
      <c r="M63" s="556"/>
      <c r="N63" s="466" t="s">
        <v>238</v>
      </c>
      <c r="O63" s="466"/>
      <c r="P63" s="66" t="s">
        <v>8</v>
      </c>
      <c r="Q63" s="254" t="e">
        <f>IF(((N60)&lt;=(Q62)),"ok","error")</f>
        <v>#DIV/0!</v>
      </c>
      <c r="R63" s="563"/>
      <c r="S63" s="564"/>
      <c r="U63" s="114">
        <f>0.75*AD58</f>
        <v>0</v>
      </c>
      <c r="V63" s="90" t="s">
        <v>49</v>
      </c>
      <c r="W63" s="115">
        <f>0.55*AD58</f>
        <v>0</v>
      </c>
      <c r="X63" s="89" t="s">
        <v>24</v>
      </c>
      <c r="Y63" s="89">
        <v>5</v>
      </c>
      <c r="Z63" s="439" t="s">
        <v>25</v>
      </c>
      <c r="AA63" s="439"/>
      <c r="AB63" s="439"/>
      <c r="AC63" s="439"/>
      <c r="AD63" s="440"/>
      <c r="AF63" s="540"/>
      <c r="AG63" s="609"/>
      <c r="AH63" s="606" t="s">
        <v>206</v>
      </c>
      <c r="AI63" s="607"/>
      <c r="AJ63" s="608"/>
      <c r="AK63" s="269">
        <f>AG59*AK56*AN61</f>
        <v>0</v>
      </c>
      <c r="AL63" s="604"/>
      <c r="AM63" s="606" t="s">
        <v>207</v>
      </c>
      <c r="AN63" s="607"/>
      <c r="AO63" s="608"/>
      <c r="AP63" s="269">
        <f>AG59*AM57*1.13*AQ57*AO57*(0.55*AN61*AQ56)</f>
        <v>0</v>
      </c>
      <c r="AQ63" s="568"/>
      <c r="BQ63" s="80"/>
      <c r="BR63" s="80"/>
    </row>
    <row r="64" spans="8:70" ht="20.100000000000001" customHeight="1" x14ac:dyDescent="0.25">
      <c r="H64" s="540"/>
      <c r="I64" s="449" t="s">
        <v>50</v>
      </c>
      <c r="J64" s="449"/>
      <c r="K64" s="449"/>
      <c r="L64" s="236">
        <f>P60*K56*I58</f>
        <v>0</v>
      </c>
      <c r="M64" s="556"/>
      <c r="N64" s="449" t="s">
        <v>50</v>
      </c>
      <c r="O64" s="449"/>
      <c r="P64" s="449"/>
      <c r="Q64" s="236">
        <f>P60*I58*K56</f>
        <v>0</v>
      </c>
      <c r="R64" s="563"/>
      <c r="S64" s="564"/>
      <c r="AA64" s="80"/>
      <c r="AB64" s="80"/>
      <c r="AF64" s="540"/>
      <c r="AG64" s="609"/>
      <c r="AH64" s="537" t="s">
        <v>238</v>
      </c>
      <c r="AI64" s="538"/>
      <c r="AJ64" s="66" t="s">
        <v>8</v>
      </c>
      <c r="AK64" s="254" t="e">
        <f>IF(((AL61)&lt;=(AK63)),"ok","error")</f>
        <v>#DIV/0!</v>
      </c>
      <c r="AL64" s="604"/>
      <c r="AM64" s="537" t="s">
        <v>238</v>
      </c>
      <c r="AN64" s="538"/>
      <c r="AO64" s="66" t="s">
        <v>8</v>
      </c>
      <c r="AP64" s="254" t="e">
        <f>IF(((AL61)&lt;=(AP63)),"ok","error")</f>
        <v>#DIV/0!</v>
      </c>
      <c r="AQ64" s="568"/>
      <c r="BQ64" s="80"/>
      <c r="BR64" s="80"/>
    </row>
    <row r="65" spans="8:70" ht="20.100000000000001" customHeight="1" thickBot="1" x14ac:dyDescent="0.3">
      <c r="H65" s="540"/>
      <c r="I65" s="528" t="s">
        <v>239</v>
      </c>
      <c r="J65" s="528"/>
      <c r="K65" s="163" t="s">
        <v>8</v>
      </c>
      <c r="L65" s="279" t="e">
        <f>IF(((L60)&lt;=(L64)),"ok","error")</f>
        <v>#DIV/0!</v>
      </c>
      <c r="M65" s="556"/>
      <c r="N65" s="528" t="s">
        <v>239</v>
      </c>
      <c r="O65" s="528"/>
      <c r="P65" s="163" t="s">
        <v>8</v>
      </c>
      <c r="Q65" s="279" t="e">
        <f>IF(((L60)&lt;=(Q64)),"ok","error")</f>
        <v>#DIV/0!</v>
      </c>
      <c r="R65" s="563"/>
      <c r="S65" s="564"/>
      <c r="AA65" s="80"/>
      <c r="AB65" s="80"/>
      <c r="AF65" s="540"/>
      <c r="AG65" s="609"/>
      <c r="AH65" s="582" t="s">
        <v>50</v>
      </c>
      <c r="AI65" s="583"/>
      <c r="AJ65" s="584"/>
      <c r="AK65" s="236">
        <f>AN61*AI56*AG59</f>
        <v>0</v>
      </c>
      <c r="AL65" s="604"/>
      <c r="AM65" s="582" t="s">
        <v>50</v>
      </c>
      <c r="AN65" s="583"/>
      <c r="AO65" s="584"/>
      <c r="AP65" s="236">
        <f>AN61*AG59*AI56</f>
        <v>0</v>
      </c>
      <c r="AQ65" s="568"/>
      <c r="BQ65" s="80"/>
      <c r="BR65" s="80"/>
    </row>
    <row r="66" spans="8:70" ht="20.100000000000001" customHeight="1" thickBot="1" x14ac:dyDescent="0.3">
      <c r="H66" s="540"/>
      <c r="I66" s="544" t="s">
        <v>59</v>
      </c>
      <c r="J66" s="545"/>
      <c r="K66" s="545"/>
      <c r="L66" s="546"/>
      <c r="M66" s="555"/>
      <c r="N66" s="544" t="s">
        <v>60</v>
      </c>
      <c r="O66" s="545"/>
      <c r="P66" s="545"/>
      <c r="Q66" s="546"/>
      <c r="R66" s="563"/>
      <c r="S66" s="564"/>
      <c r="AA66" s="80"/>
      <c r="AB66" s="80"/>
      <c r="AF66" s="540"/>
      <c r="AG66" s="609"/>
      <c r="AH66" s="585" t="s">
        <v>239</v>
      </c>
      <c r="AI66" s="586"/>
      <c r="AJ66" s="163" t="s">
        <v>8</v>
      </c>
      <c r="AK66" s="279" t="e">
        <f>IF(((AJ61)&lt;=(AK65)),"ok","error")</f>
        <v>#DIV/0!</v>
      </c>
      <c r="AL66" s="604"/>
      <c r="AM66" s="585" t="s">
        <v>239</v>
      </c>
      <c r="AN66" s="586"/>
      <c r="AO66" s="163" t="s">
        <v>8</v>
      </c>
      <c r="AP66" s="279" t="e">
        <f>IF(((AJ61)&lt;=(AP65)),"ok","error")</f>
        <v>#DIV/0!</v>
      </c>
      <c r="AQ66" s="568"/>
    </row>
    <row r="67" spans="8:70" ht="20.100000000000001" customHeight="1" thickBot="1" x14ac:dyDescent="0.3">
      <c r="H67" s="540"/>
      <c r="I67" s="87" t="s">
        <v>240</v>
      </c>
      <c r="J67" s="275" t="e">
        <f>IF((M56*(1.3-(L60/(I58*K56))))&lt;=M56,(M56*(1.3-(L60/(I58*K56)))),M56)</f>
        <v>#DIV/0!</v>
      </c>
      <c r="K67" s="87" t="s">
        <v>241</v>
      </c>
      <c r="L67" s="275" t="e">
        <f>IF((K56*(1.3-(N60/(I58*M56))))&lt;=K56,(K56*(1.3-(N60/(I58*M56)))),K56)</f>
        <v>#DIV/0!</v>
      </c>
      <c r="M67" s="556"/>
      <c r="N67" s="87" t="s">
        <v>54</v>
      </c>
      <c r="O67" s="275" t="e">
        <f>1-((I56)/(1.13*K57*Q67))</f>
        <v>#DIV/0!</v>
      </c>
      <c r="P67" s="87" t="s">
        <v>242</v>
      </c>
      <c r="Q67" s="275">
        <f>0.55*P60*Q56</f>
        <v>0</v>
      </c>
      <c r="R67" s="563"/>
      <c r="S67" s="564"/>
      <c r="AA67" s="80"/>
      <c r="AB67" s="80"/>
      <c r="AF67" s="540"/>
      <c r="AG67" s="563"/>
      <c r="AH67" s="590" t="s">
        <v>59</v>
      </c>
      <c r="AI67" s="591"/>
      <c r="AJ67" s="591"/>
      <c r="AK67" s="592"/>
      <c r="AL67" s="605"/>
      <c r="AM67" s="590" t="s">
        <v>60</v>
      </c>
      <c r="AN67" s="591"/>
      <c r="AO67" s="591"/>
      <c r="AP67" s="592"/>
      <c r="AQ67" s="569"/>
    </row>
    <row r="68" spans="8:70" ht="20.100000000000001" customHeight="1" x14ac:dyDescent="0.25">
      <c r="H68" s="540"/>
      <c r="I68" s="449" t="s">
        <v>51</v>
      </c>
      <c r="J68" s="449"/>
      <c r="K68" s="449"/>
      <c r="L68" s="236" t="e">
        <f>I58*J67*P60</f>
        <v>#DIV/0!</v>
      </c>
      <c r="M68" s="556"/>
      <c r="N68" s="449" t="s">
        <v>53</v>
      </c>
      <c r="O68" s="449"/>
      <c r="P68" s="449"/>
      <c r="Q68" s="236" t="e">
        <f>Q57*S57*1.13*O57*K58*Q67*O67</f>
        <v>#DIV/0!</v>
      </c>
      <c r="R68" s="563"/>
      <c r="S68" s="564"/>
      <c r="AA68" s="80"/>
      <c r="AB68" s="80"/>
      <c r="AF68" s="540"/>
      <c r="AG68" s="609"/>
      <c r="AH68" s="87" t="s">
        <v>240</v>
      </c>
      <c r="AI68" s="275" t="e">
        <f>IF((AK56*(1.3-(AJ61/(AG59*AI56))))&lt;=AK56,(AK56*(1.3-(AJ61/(AG59*AI56)))),AK56)</f>
        <v>#DIV/0!</v>
      </c>
      <c r="AJ68" s="87" t="s">
        <v>241</v>
      </c>
      <c r="AK68" s="275" t="e">
        <f>IF((AI56*(1.3-(AL61/(AG59*AK56))))&lt;=AI56,(AI56*(1.3-(AL61/(AG59*AK56)))),AI56)</f>
        <v>#DIV/0!</v>
      </c>
      <c r="AL68" s="604"/>
      <c r="AM68" s="87" t="s">
        <v>54</v>
      </c>
      <c r="AN68" s="275" t="e">
        <f>1-((AG56)/(1.13*AP68*AO56))</f>
        <v>#DIV/0!</v>
      </c>
      <c r="AO68" s="87" t="s">
        <v>242</v>
      </c>
      <c r="AP68" s="275">
        <f>0.55*AQ56*AN61</f>
        <v>0</v>
      </c>
      <c r="AQ68" s="568"/>
      <c r="BE68" s="34"/>
      <c r="BF68" s="34"/>
      <c r="BG68" s="34"/>
      <c r="BH68" s="34"/>
      <c r="BI68" s="34"/>
      <c r="BJ68" s="34"/>
      <c r="BN68" s="34"/>
      <c r="BO68" s="34"/>
      <c r="BP68" s="80"/>
      <c r="BQ68" s="80"/>
      <c r="BR68" s="80"/>
    </row>
    <row r="69" spans="8:70" ht="20.100000000000001" customHeight="1" x14ac:dyDescent="0.25">
      <c r="H69" s="540"/>
      <c r="I69" s="466" t="s">
        <v>243</v>
      </c>
      <c r="J69" s="466"/>
      <c r="K69" s="66" t="s">
        <v>8</v>
      </c>
      <c r="L69" s="254" t="e">
        <f>IF(((N60)&lt;=(L68)),"ok","error")</f>
        <v>#DIV/0!</v>
      </c>
      <c r="M69" s="556"/>
      <c r="N69" s="466" t="s">
        <v>243</v>
      </c>
      <c r="O69" s="466"/>
      <c r="P69" s="66" t="s">
        <v>8</v>
      </c>
      <c r="Q69" s="254" t="e">
        <f>IF(((N60)&lt;=(Q68)),"ok","error")</f>
        <v>#DIV/0!</v>
      </c>
      <c r="R69" s="563"/>
      <c r="S69" s="564"/>
      <c r="AA69" s="80"/>
      <c r="AB69" s="80"/>
      <c r="AF69" s="540"/>
      <c r="AG69" s="609"/>
      <c r="AH69" s="582" t="s">
        <v>51</v>
      </c>
      <c r="AI69" s="583"/>
      <c r="AJ69" s="584"/>
      <c r="AK69" s="236" t="e">
        <f>AG59*AI68*AN61</f>
        <v>#DIV/0!</v>
      </c>
      <c r="AL69" s="604"/>
      <c r="AM69" s="582" t="s">
        <v>53</v>
      </c>
      <c r="AN69" s="583"/>
      <c r="AO69" s="584"/>
      <c r="AP69" s="236" t="e">
        <f>AG59*AM57*1.13*AP68*AQ57*AN68*AO57</f>
        <v>#DIV/0!</v>
      </c>
      <c r="AQ69" s="568"/>
      <c r="BE69" s="34"/>
      <c r="BF69" s="34"/>
      <c r="BG69" s="34"/>
      <c r="BH69" s="34"/>
      <c r="BN69" s="34"/>
      <c r="BO69" s="34"/>
      <c r="BP69" s="80"/>
      <c r="BQ69" s="80"/>
      <c r="BR69" s="80"/>
    </row>
    <row r="70" spans="8:70" ht="20.100000000000001" customHeight="1" x14ac:dyDescent="0.25">
      <c r="H70" s="540"/>
      <c r="I70" s="449" t="s">
        <v>52</v>
      </c>
      <c r="J70" s="449"/>
      <c r="K70" s="449"/>
      <c r="L70" s="236" t="e">
        <f>I58*L67*P60</f>
        <v>#DIV/0!</v>
      </c>
      <c r="M70" s="556"/>
      <c r="N70" s="449" t="s">
        <v>50</v>
      </c>
      <c r="O70" s="449"/>
      <c r="P70" s="449"/>
      <c r="Q70" s="236">
        <f>P60*I58*K56</f>
        <v>0</v>
      </c>
      <c r="R70" s="563"/>
      <c r="S70" s="564"/>
      <c r="AA70" s="80"/>
      <c r="AB70" s="80"/>
      <c r="AF70" s="540"/>
      <c r="AG70" s="609"/>
      <c r="AH70" s="537" t="s">
        <v>243</v>
      </c>
      <c r="AI70" s="538"/>
      <c r="AJ70" s="66" t="s">
        <v>8</v>
      </c>
      <c r="AK70" s="254" t="e">
        <f>IF(((AL61)&lt;=(AK69)),"ok","error")</f>
        <v>#DIV/0!</v>
      </c>
      <c r="AL70" s="604"/>
      <c r="AM70" s="537" t="s">
        <v>243</v>
      </c>
      <c r="AN70" s="538"/>
      <c r="AO70" s="66" t="s">
        <v>8</v>
      </c>
      <c r="AP70" s="254" t="e">
        <f>IF(((AL61)&lt;=(AP69)),"ok","error")</f>
        <v>#DIV/0!</v>
      </c>
      <c r="AQ70" s="568"/>
      <c r="BE70" s="34"/>
      <c r="BF70" s="34"/>
      <c r="BG70" s="34"/>
      <c r="BH70" s="34"/>
      <c r="BI70" s="34"/>
      <c r="BJ70" s="34"/>
      <c r="BK70" s="34"/>
      <c r="BN70" s="34"/>
      <c r="BO70" s="34"/>
      <c r="BP70" s="80"/>
      <c r="BQ70" s="80"/>
      <c r="BR70" s="80"/>
    </row>
    <row r="71" spans="8:70" ht="20.100000000000001" customHeight="1" thickBot="1" x14ac:dyDescent="0.3">
      <c r="H71" s="540"/>
      <c r="I71" s="528" t="s">
        <v>239</v>
      </c>
      <c r="J71" s="528"/>
      <c r="K71" s="163" t="s">
        <v>8</v>
      </c>
      <c r="L71" s="279" t="e">
        <f>IF(((L60)&lt;=(L70)),"ok","error")</f>
        <v>#DIV/0!</v>
      </c>
      <c r="M71" s="557"/>
      <c r="N71" s="528" t="s">
        <v>239</v>
      </c>
      <c r="O71" s="528"/>
      <c r="P71" s="163" t="s">
        <v>8</v>
      </c>
      <c r="Q71" s="279" t="e">
        <f>IF(((L60)&lt;=(Q70)),"ok","error")</f>
        <v>#DIV/0!</v>
      </c>
      <c r="R71" s="563"/>
      <c r="S71" s="564"/>
      <c r="AA71" s="80"/>
      <c r="AB71" s="80"/>
      <c r="AF71" s="540"/>
      <c r="AG71" s="609"/>
      <c r="AH71" s="582" t="s">
        <v>52</v>
      </c>
      <c r="AI71" s="583"/>
      <c r="AJ71" s="584"/>
      <c r="AK71" s="236" t="e">
        <f>AG59*AK68*AN61</f>
        <v>#DIV/0!</v>
      </c>
      <c r="AL71" s="604"/>
      <c r="AM71" s="582" t="s">
        <v>50</v>
      </c>
      <c r="AN71" s="583"/>
      <c r="AO71" s="584"/>
      <c r="AP71" s="236">
        <f>AN61*AG59*AI56</f>
        <v>0</v>
      </c>
      <c r="AQ71" s="568"/>
    </row>
    <row r="72" spans="8:70" ht="20.100000000000001" customHeight="1" thickBot="1" x14ac:dyDescent="0.3">
      <c r="H72" s="540"/>
      <c r="I72" s="551" t="s">
        <v>198</v>
      </c>
      <c r="J72" s="552"/>
      <c r="K72" s="552"/>
      <c r="L72" s="552"/>
      <c r="M72" s="552"/>
      <c r="N72" s="552"/>
      <c r="O72" s="552"/>
      <c r="P72" s="552"/>
      <c r="Q72" s="553"/>
      <c r="R72" s="563"/>
      <c r="S72" s="564"/>
      <c r="AA72" s="80"/>
      <c r="AB72" s="80"/>
      <c r="AF72" s="540"/>
      <c r="AG72" s="609"/>
      <c r="AH72" s="585" t="s">
        <v>239</v>
      </c>
      <c r="AI72" s="586"/>
      <c r="AJ72" s="163" t="s">
        <v>8</v>
      </c>
      <c r="AK72" s="279" t="e">
        <f>IF(((AJ61)&lt;=(AK71)),"ok","error")</f>
        <v>#DIV/0!</v>
      </c>
      <c r="AL72" s="604"/>
      <c r="AM72" s="585" t="s">
        <v>239</v>
      </c>
      <c r="AN72" s="586"/>
      <c r="AO72" s="163" t="s">
        <v>8</v>
      </c>
      <c r="AP72" s="279" t="e">
        <f>IF(((AJ61)&lt;=(AP71)),"ok","error")</f>
        <v>#DIV/0!</v>
      </c>
      <c r="AQ72" s="568"/>
    </row>
    <row r="73" spans="8:70" ht="20.100000000000001" customHeight="1" thickBot="1" x14ac:dyDescent="0.3">
      <c r="H73" s="540"/>
      <c r="I73" s="529" t="s">
        <v>38</v>
      </c>
      <c r="J73" s="529" t="s">
        <v>57</v>
      </c>
      <c r="K73" s="529"/>
      <c r="L73" s="554" t="s">
        <v>55</v>
      </c>
      <c r="M73" s="554"/>
      <c r="N73" s="269">
        <f>I58*2.4*F5*M57*O56</f>
        <v>0</v>
      </c>
      <c r="O73" s="87" t="s">
        <v>243</v>
      </c>
      <c r="P73" s="87" t="s">
        <v>8</v>
      </c>
      <c r="Q73" s="278" t="e">
        <f>IF(((N60)&lt;=(N73)),"ok","error")</f>
        <v>#DIV/0!</v>
      </c>
      <c r="R73" s="563"/>
      <c r="S73" s="564"/>
      <c r="AA73" s="80"/>
      <c r="AB73" s="80"/>
      <c r="AF73" s="540"/>
      <c r="AG73" s="563"/>
      <c r="AH73" s="587" t="s">
        <v>198</v>
      </c>
      <c r="AI73" s="588"/>
      <c r="AJ73" s="588"/>
      <c r="AK73" s="588"/>
      <c r="AL73" s="588"/>
      <c r="AM73" s="588"/>
      <c r="AN73" s="588"/>
      <c r="AO73" s="588"/>
      <c r="AP73" s="589"/>
      <c r="AQ73" s="569"/>
    </row>
    <row r="74" spans="8:70" ht="20.100000000000001" customHeight="1" x14ac:dyDescent="0.25">
      <c r="H74" s="540"/>
      <c r="I74" s="484"/>
      <c r="J74" s="484" t="s">
        <v>58</v>
      </c>
      <c r="K74" s="484"/>
      <c r="L74" s="449" t="s">
        <v>56</v>
      </c>
      <c r="M74" s="449"/>
      <c r="N74" s="236">
        <f>O56*2*F5*I58*M57</f>
        <v>0</v>
      </c>
      <c r="O74" s="66" t="s">
        <v>243</v>
      </c>
      <c r="P74" s="66" t="s">
        <v>8</v>
      </c>
      <c r="Q74" s="254" t="e">
        <f>IF(((N60)&lt;=(N74)),"ok","error")</f>
        <v>#DIV/0!</v>
      </c>
      <c r="R74" s="563"/>
      <c r="S74" s="564"/>
      <c r="W74" s="239"/>
      <c r="AA74" s="80"/>
      <c r="AB74" s="80"/>
      <c r="AF74" s="540"/>
      <c r="AG74" s="609"/>
      <c r="AH74" s="572" t="s">
        <v>38</v>
      </c>
      <c r="AI74" s="574" t="s">
        <v>57</v>
      </c>
      <c r="AJ74" s="575"/>
      <c r="AK74" s="576" t="s">
        <v>55</v>
      </c>
      <c r="AL74" s="577"/>
      <c r="AM74" s="269">
        <f>AG59*2.4*AK57*AM56*F5</f>
        <v>0</v>
      </c>
      <c r="AN74" s="87" t="s">
        <v>243</v>
      </c>
      <c r="AO74" s="87" t="s">
        <v>8</v>
      </c>
      <c r="AP74" s="278" t="e">
        <f>IF(((AL61)&lt;=(AM74)),"ok","error")</f>
        <v>#DIV/0!</v>
      </c>
      <c r="AQ74" s="568"/>
    </row>
    <row r="75" spans="8:70" ht="20.100000000000001" customHeight="1" thickBot="1" x14ac:dyDescent="0.3">
      <c r="H75" s="540"/>
      <c r="I75" s="484" t="s">
        <v>40</v>
      </c>
      <c r="J75" s="484" t="s">
        <v>57</v>
      </c>
      <c r="K75" s="484"/>
      <c r="L75" s="449" t="s">
        <v>55</v>
      </c>
      <c r="M75" s="449"/>
      <c r="N75" s="236">
        <f>I58*2.4*F5*M57*O56</f>
        <v>0</v>
      </c>
      <c r="O75" s="66" t="s">
        <v>243</v>
      </c>
      <c r="P75" s="66" t="s">
        <v>8</v>
      </c>
      <c r="Q75" s="254" t="e">
        <f>IF(((N60)&lt;=(N75)),"ok","error")</f>
        <v>#DIV/0!</v>
      </c>
      <c r="R75" s="563"/>
      <c r="S75" s="564"/>
      <c r="AA75" s="80"/>
      <c r="AB75" s="80"/>
      <c r="AF75" s="610"/>
      <c r="AG75" s="611"/>
      <c r="AH75" s="573"/>
      <c r="AI75" s="578" t="s">
        <v>58</v>
      </c>
      <c r="AJ75" s="579"/>
      <c r="AK75" s="580" t="s">
        <v>56</v>
      </c>
      <c r="AL75" s="581"/>
      <c r="AM75" s="282">
        <f>AG59*2*AK57*AM56*F5</f>
        <v>0</v>
      </c>
      <c r="AN75" s="89" t="s">
        <v>243</v>
      </c>
      <c r="AO75" s="89" t="s">
        <v>8</v>
      </c>
      <c r="AP75" s="280" t="e">
        <f>IF(((AL61)&lt;=(AM75)),"ok","error")</f>
        <v>#DIV/0!</v>
      </c>
      <c r="AQ75" s="570"/>
    </row>
    <row r="76" spans="8:70" ht="20.100000000000001" customHeight="1" thickBot="1" x14ac:dyDescent="0.3">
      <c r="H76" s="540"/>
      <c r="I76" s="530"/>
      <c r="J76" s="530" t="s">
        <v>58</v>
      </c>
      <c r="K76" s="530"/>
      <c r="L76" s="531" t="s">
        <v>56</v>
      </c>
      <c r="M76" s="531"/>
      <c r="N76" s="270">
        <f>O56*2*F5*I58*M57</f>
        <v>0</v>
      </c>
      <c r="O76" s="125" t="s">
        <v>243</v>
      </c>
      <c r="P76" s="125" t="s">
        <v>8</v>
      </c>
      <c r="Q76" s="279" t="e">
        <f>IF(((N60)&lt;=(N76)),"ok","error")</f>
        <v>#DIV/0!</v>
      </c>
      <c r="R76" s="563"/>
      <c r="S76" s="564"/>
      <c r="AA76" s="80"/>
      <c r="AB76" s="80"/>
      <c r="AF76" s="597" t="s">
        <v>276</v>
      </c>
      <c r="AG76" s="598"/>
      <c r="AH76" s="598"/>
      <c r="AI76" s="598"/>
      <c r="AJ76" s="598"/>
      <c r="AK76" s="598"/>
      <c r="AL76" s="598"/>
      <c r="AM76" s="598"/>
      <c r="AN76" s="598"/>
      <c r="AO76" s="598"/>
      <c r="AP76" s="598"/>
      <c r="AQ76" s="599"/>
    </row>
    <row r="77" spans="8:70" ht="20.100000000000001" customHeight="1" thickBot="1" x14ac:dyDescent="0.3">
      <c r="H77" s="597" t="s">
        <v>276</v>
      </c>
      <c r="I77" s="598"/>
      <c r="J77" s="598"/>
      <c r="K77" s="598"/>
      <c r="L77" s="598"/>
      <c r="M77" s="598"/>
      <c r="N77" s="598"/>
      <c r="O77" s="598"/>
      <c r="P77" s="598"/>
      <c r="Q77" s="598"/>
      <c r="R77" s="598"/>
      <c r="S77" s="599"/>
      <c r="AA77" s="80"/>
      <c r="AB77" s="80"/>
      <c r="AF77" s="151" t="s">
        <v>27</v>
      </c>
      <c r="AG77" s="152">
        <v>0</v>
      </c>
      <c r="AH77" s="153" t="s">
        <v>5</v>
      </c>
      <c r="AI77" s="154">
        <v>0</v>
      </c>
      <c r="AJ77" s="153" t="s">
        <v>81</v>
      </c>
      <c r="AK77" s="154">
        <v>0</v>
      </c>
      <c r="AL77" s="155" t="s">
        <v>195</v>
      </c>
      <c r="AM77" s="154">
        <v>0</v>
      </c>
      <c r="AN77" s="156" t="s">
        <v>83</v>
      </c>
      <c r="AO77" s="152">
        <v>0</v>
      </c>
      <c r="AP77" s="156" t="s">
        <v>84</v>
      </c>
      <c r="AQ77" s="148">
        <v>0</v>
      </c>
    </row>
    <row r="78" spans="8:70" ht="20.100000000000001" customHeight="1" thickBot="1" x14ac:dyDescent="0.3">
      <c r="H78" s="151" t="s">
        <v>27</v>
      </c>
      <c r="I78" s="152">
        <v>0</v>
      </c>
      <c r="J78" s="153" t="s">
        <v>5</v>
      </c>
      <c r="K78" s="154">
        <v>0</v>
      </c>
      <c r="L78" s="153" t="s">
        <v>81</v>
      </c>
      <c r="M78" s="154">
        <v>0</v>
      </c>
      <c r="N78" s="155" t="s">
        <v>195</v>
      </c>
      <c r="O78" s="154">
        <v>0</v>
      </c>
      <c r="P78" s="156" t="s">
        <v>83</v>
      </c>
      <c r="Q78" s="152">
        <v>0</v>
      </c>
      <c r="R78" s="156" t="s">
        <v>84</v>
      </c>
      <c r="S78" s="148">
        <v>0</v>
      </c>
      <c r="AA78" s="80"/>
      <c r="AB78" s="80"/>
      <c r="AF78" s="533" t="s">
        <v>197</v>
      </c>
      <c r="AG78" s="534"/>
      <c r="AH78" s="534"/>
      <c r="AI78" s="273" t="s">
        <v>196</v>
      </c>
      <c r="AJ78" s="527" t="s">
        <v>244</v>
      </c>
      <c r="AK78" s="527"/>
      <c r="AL78" s="271" t="e">
        <f>0.25*AG77*AI77*AK77*AO77*AQ77*(AM77/(SQRT(F3)))</f>
        <v>#DIV/0!</v>
      </c>
      <c r="AM78" s="527" t="s">
        <v>245</v>
      </c>
      <c r="AN78" s="527"/>
      <c r="AO78" s="271" t="e">
        <f>(MAX(20,(0.04*AG77*AM77),((0.25*AG77*AM77)/(SQRT(F3)))))</f>
        <v>#DIV/0!</v>
      </c>
      <c r="AP78" s="126" t="s">
        <v>246</v>
      </c>
      <c r="AQ78" s="272" t="e">
        <f>0.75*AO78</f>
        <v>#DIV/0!</v>
      </c>
    </row>
    <row r="79" spans="8:70" ht="20.100000000000001" customHeight="1" thickBot="1" x14ac:dyDescent="0.3">
      <c r="H79" s="533" t="s">
        <v>197</v>
      </c>
      <c r="I79" s="534"/>
      <c r="J79" s="534"/>
      <c r="K79" s="273" t="s">
        <v>196</v>
      </c>
      <c r="L79" s="527" t="s">
        <v>244</v>
      </c>
      <c r="M79" s="527"/>
      <c r="N79" s="271" t="e">
        <f>0.25*I78*K78*M78*Q78*S78*(O78/(SQRT(F3)))</f>
        <v>#DIV/0!</v>
      </c>
      <c r="O79" s="527" t="s">
        <v>245</v>
      </c>
      <c r="P79" s="527"/>
      <c r="Q79" s="271" t="e">
        <f>(MAX(20,(0.04*O78*I78),((0.25*I78*O78)/(SQRT(F3)))))</f>
        <v>#DIV/0!</v>
      </c>
      <c r="R79" s="126" t="s">
        <v>246</v>
      </c>
      <c r="S79" s="272" t="e">
        <f>0.75*Q79</f>
        <v>#DIV/0!</v>
      </c>
      <c r="AA79" s="80"/>
      <c r="AB79" s="80"/>
      <c r="AF79" s="127" t="s">
        <v>82</v>
      </c>
      <c r="AG79" s="274">
        <f>12*AG77</f>
        <v>0</v>
      </c>
      <c r="AH79" s="326" t="s">
        <v>264</v>
      </c>
      <c r="AI79" s="326"/>
      <c r="AJ79" s="194">
        <f>IF((AG77&lt;=2.2),(AG77+0.2),(AG77+0.3))</f>
        <v>0.2</v>
      </c>
      <c r="AK79" s="326" t="s">
        <v>265</v>
      </c>
      <c r="AL79" s="326"/>
      <c r="AM79" s="194">
        <f>IF((AG77&lt;=2.1),(AG77+0.4),(AG77+0.6))</f>
        <v>0.4</v>
      </c>
      <c r="AN79" s="89"/>
      <c r="AO79" s="124"/>
      <c r="AP79" s="124"/>
      <c r="AQ79" s="128"/>
    </row>
    <row r="80" spans="8:70" ht="20.100000000000001" customHeight="1" thickBot="1" x14ac:dyDescent="0.3">
      <c r="H80" s="127" t="s">
        <v>82</v>
      </c>
      <c r="I80" s="274">
        <f>12*I78</f>
        <v>0</v>
      </c>
      <c r="J80" s="326" t="s">
        <v>264</v>
      </c>
      <c r="K80" s="326"/>
      <c r="L80" s="194">
        <f>IF((I78&lt;=2.2),(I78+0.2),(I78+0.3))</f>
        <v>0.2</v>
      </c>
      <c r="M80" s="326" t="s">
        <v>265</v>
      </c>
      <c r="N80" s="326"/>
      <c r="O80" s="194">
        <f>IF((I78&lt;=2.1),(I78+0.4),(I78+0.6))</f>
        <v>0.4</v>
      </c>
      <c r="P80" s="89"/>
      <c r="Q80" s="89"/>
      <c r="R80" s="89"/>
      <c r="S80" s="96"/>
      <c r="AF80" s="464" t="s">
        <v>267</v>
      </c>
      <c r="AG80" s="324"/>
      <c r="AH80" s="324"/>
      <c r="AI80" s="194">
        <f>3*AG77</f>
        <v>0</v>
      </c>
      <c r="AJ80" s="320" t="s">
        <v>270</v>
      </c>
      <c r="AK80" s="329">
        <v>0</v>
      </c>
      <c r="AL80" s="324" t="s">
        <v>271</v>
      </c>
      <c r="AM80" s="324"/>
      <c r="AN80" s="324"/>
      <c r="AO80" s="194">
        <f>2*AG77</f>
        <v>0</v>
      </c>
      <c r="AP80" s="320" t="s">
        <v>270</v>
      </c>
      <c r="AQ80" s="321">
        <v>0</v>
      </c>
    </row>
    <row r="81" spans="8:77" ht="20.100000000000001" customHeight="1" x14ac:dyDescent="0.25">
      <c r="H81" s="464" t="s">
        <v>267</v>
      </c>
      <c r="I81" s="324"/>
      <c r="J81" s="324"/>
      <c r="K81" s="194">
        <f>3*I78</f>
        <v>0</v>
      </c>
      <c r="L81" s="320" t="s">
        <v>270</v>
      </c>
      <c r="M81" s="329">
        <v>0</v>
      </c>
      <c r="N81" s="324" t="s">
        <v>271</v>
      </c>
      <c r="O81" s="324"/>
      <c r="P81" s="324"/>
      <c r="Q81" s="194">
        <f>2*I78</f>
        <v>0</v>
      </c>
      <c r="R81" s="320" t="s">
        <v>270</v>
      </c>
      <c r="S81" s="321">
        <v>0</v>
      </c>
      <c r="AF81" s="464" t="s">
        <v>268</v>
      </c>
      <c r="AG81" s="324"/>
      <c r="AH81" s="324"/>
      <c r="AI81" s="194">
        <f>MIN(30,(24*AM56))</f>
        <v>0</v>
      </c>
      <c r="AJ81" s="320"/>
      <c r="AK81" s="329"/>
      <c r="AL81" s="324" t="s">
        <v>272</v>
      </c>
      <c r="AM81" s="324"/>
      <c r="AN81" s="324"/>
      <c r="AO81" s="194">
        <f>(2*AG77)+0.3</f>
        <v>0.3</v>
      </c>
      <c r="AP81" s="320"/>
      <c r="AQ81" s="321"/>
    </row>
    <row r="82" spans="8:77" ht="20.100000000000001" customHeight="1" x14ac:dyDescent="0.25">
      <c r="H82" s="464" t="s">
        <v>268</v>
      </c>
      <c r="I82" s="324"/>
      <c r="J82" s="324"/>
      <c r="K82" s="194">
        <f>MIN(30,(24*O56))</f>
        <v>0</v>
      </c>
      <c r="L82" s="320"/>
      <c r="M82" s="329"/>
      <c r="N82" s="324" t="s">
        <v>272</v>
      </c>
      <c r="O82" s="324"/>
      <c r="P82" s="324"/>
      <c r="Q82" s="194">
        <f>(2*I78)+0.3</f>
        <v>0.3</v>
      </c>
      <c r="R82" s="320"/>
      <c r="S82" s="321"/>
      <c r="AF82" s="464" t="s">
        <v>269</v>
      </c>
      <c r="AG82" s="324"/>
      <c r="AH82" s="324"/>
      <c r="AI82" s="194">
        <f>MIN(20,(14*AM56))</f>
        <v>0</v>
      </c>
      <c r="AJ82" s="320"/>
      <c r="AK82" s="329"/>
      <c r="AL82" s="324" t="s">
        <v>273</v>
      </c>
      <c r="AM82" s="324"/>
      <c r="AN82" s="324"/>
      <c r="AO82" s="194">
        <f>MIN(15,(12*AM56))</f>
        <v>0</v>
      </c>
      <c r="AP82" s="320"/>
      <c r="AQ82" s="321"/>
    </row>
    <row r="83" spans="8:77" ht="20.100000000000001" customHeight="1" x14ac:dyDescent="0.25">
      <c r="H83" s="464" t="s">
        <v>269</v>
      </c>
      <c r="I83" s="324"/>
      <c r="J83" s="324"/>
      <c r="K83" s="194">
        <f>MIN(20,(14*O56))</f>
        <v>0</v>
      </c>
      <c r="L83" s="320"/>
      <c r="M83" s="329"/>
      <c r="N83" s="324" t="s">
        <v>273</v>
      </c>
      <c r="O83" s="324"/>
      <c r="P83" s="324"/>
      <c r="Q83" s="194">
        <f>MIN(15,(12*O56))</f>
        <v>0</v>
      </c>
      <c r="R83" s="320"/>
      <c r="S83" s="321"/>
      <c r="AF83" s="292"/>
      <c r="AG83" s="48"/>
      <c r="AH83" s="158"/>
      <c r="AI83" s="158"/>
      <c r="AJ83" s="158"/>
      <c r="AK83" s="158"/>
      <c r="AL83" s="465" t="s">
        <v>274</v>
      </c>
      <c r="AM83" s="465"/>
      <c r="AN83" s="465"/>
      <c r="AO83" s="194">
        <f>MIN(12.5,(8*AM56))</f>
        <v>0</v>
      </c>
      <c r="AP83" s="298"/>
      <c r="AQ83" s="293"/>
    </row>
    <row r="84" spans="8:77" ht="20.100000000000001" customHeight="1" thickBot="1" x14ac:dyDescent="0.3">
      <c r="H84" s="292"/>
      <c r="I84" s="48"/>
      <c r="J84" s="158"/>
      <c r="K84" s="158"/>
      <c r="L84" s="158"/>
      <c r="M84" s="158"/>
      <c r="N84" s="465" t="s">
        <v>274</v>
      </c>
      <c r="O84" s="465"/>
      <c r="P84" s="465"/>
      <c r="Q84" s="194">
        <f>MIN(12.5,(8*O56))</f>
        <v>0</v>
      </c>
      <c r="R84" s="298"/>
      <c r="S84" s="293"/>
      <c r="AF84" s="322" t="s">
        <v>275</v>
      </c>
      <c r="AG84" s="323"/>
      <c r="AH84" s="323"/>
      <c r="AI84" s="323"/>
      <c r="AJ84" s="323"/>
      <c r="AK84" s="323"/>
      <c r="AL84" s="79" t="s">
        <v>283</v>
      </c>
      <c r="AM84" s="140">
        <v>0</v>
      </c>
      <c r="AN84" s="299" t="s">
        <v>2</v>
      </c>
      <c r="AO84" s="140">
        <v>0</v>
      </c>
      <c r="AP84" s="159" t="s">
        <v>266</v>
      </c>
      <c r="AQ84" s="24" t="str">
        <f>IF(((2*AQ80)+((AO84-1)*AK80))&lt;=AM84,"ok","error")</f>
        <v>ok</v>
      </c>
    </row>
    <row r="85" spans="8:77" ht="20.100000000000001" customHeight="1" thickBot="1" x14ac:dyDescent="0.3">
      <c r="H85" s="322" t="s">
        <v>275</v>
      </c>
      <c r="I85" s="323"/>
      <c r="J85" s="323"/>
      <c r="K85" s="323"/>
      <c r="L85" s="323"/>
      <c r="M85" s="323"/>
      <c r="N85" s="79" t="s">
        <v>283</v>
      </c>
      <c r="O85" s="140">
        <v>0</v>
      </c>
      <c r="P85" s="299" t="s">
        <v>2</v>
      </c>
      <c r="Q85" s="140">
        <v>0</v>
      </c>
      <c r="R85" s="159" t="s">
        <v>266</v>
      </c>
      <c r="S85" s="24" t="str">
        <f>IF(((2*S81)+((Q85-1)*M81))&lt;=O85,"ok","error")</f>
        <v>ok</v>
      </c>
    </row>
    <row r="86" spans="8:77" ht="20.100000000000001" customHeight="1" x14ac:dyDescent="0.25"/>
    <row r="87" spans="8:77" ht="20.100000000000001" customHeight="1" x14ac:dyDescent="0.25"/>
    <row r="88" spans="8:77" ht="20.100000000000001" customHeight="1" x14ac:dyDescent="0.25">
      <c r="AA88" s="80"/>
      <c r="AB88" s="80"/>
      <c r="AC88" s="80"/>
      <c r="BC88" s="81"/>
      <c r="BD88" s="81"/>
      <c r="BE88" s="81"/>
      <c r="BW88"/>
      <c r="BX88"/>
      <c r="BY88"/>
    </row>
    <row r="89" spans="8:77" ht="20.100000000000001" customHeight="1" x14ac:dyDescent="0.25">
      <c r="AA89" s="80"/>
      <c r="AB89" s="80"/>
      <c r="AC89" s="80"/>
      <c r="BC89" s="81"/>
      <c r="BD89" s="81"/>
      <c r="BE89" s="81"/>
      <c r="BW89"/>
      <c r="BX89"/>
      <c r="BY89"/>
    </row>
    <row r="90" spans="8:77" ht="20.100000000000001" customHeight="1" x14ac:dyDescent="0.25">
      <c r="AA90" s="80"/>
      <c r="AB90" s="80"/>
      <c r="AC90" s="80"/>
      <c r="BC90" s="81"/>
      <c r="BD90" s="81"/>
      <c r="BE90" s="81"/>
      <c r="BW90"/>
      <c r="BX90"/>
      <c r="BY90"/>
    </row>
    <row r="91" spans="8:77" ht="20.100000000000001" customHeight="1" x14ac:dyDescent="0.25">
      <c r="AA91" s="80"/>
      <c r="AB91" s="80"/>
      <c r="AC91" s="80"/>
      <c r="BC91" s="81"/>
      <c r="BD91" s="81"/>
      <c r="BE91" s="81"/>
      <c r="BW91"/>
      <c r="BX91"/>
      <c r="BY91"/>
    </row>
    <row r="92" spans="8:77" ht="20.100000000000001" customHeight="1" x14ac:dyDescent="0.25">
      <c r="AA92" s="80"/>
      <c r="AB92" s="80"/>
      <c r="AC92" s="80"/>
      <c r="BC92" s="81"/>
      <c r="BD92" s="81"/>
      <c r="BE92" s="81"/>
      <c r="BW92"/>
      <c r="BX92"/>
      <c r="BY92"/>
    </row>
    <row r="93" spans="8:77" ht="20.100000000000001" customHeight="1" x14ac:dyDescent="0.25">
      <c r="AA93" s="80"/>
      <c r="AB93" s="80"/>
      <c r="AC93" s="80"/>
      <c r="BC93" s="81"/>
      <c r="BD93" s="81"/>
      <c r="BE93" s="81"/>
      <c r="BW93"/>
      <c r="BX93"/>
      <c r="BY93"/>
    </row>
    <row r="94" spans="8:77" ht="20.100000000000001" customHeight="1" x14ac:dyDescent="0.25">
      <c r="AA94" s="80"/>
      <c r="AB94" s="80"/>
      <c r="AC94" s="80"/>
      <c r="BC94" s="81"/>
      <c r="BD94" s="81"/>
      <c r="BE94" s="81"/>
      <c r="BW94"/>
      <c r="BX94"/>
      <c r="BY94"/>
    </row>
    <row r="95" spans="8:77" ht="20.100000000000001" customHeight="1" x14ac:dyDescent="0.25">
      <c r="AA95" s="80"/>
      <c r="AB95" s="80"/>
      <c r="AC95" s="80"/>
      <c r="BC95" s="81"/>
      <c r="BD95" s="81"/>
      <c r="BE95" s="81"/>
      <c r="BW95"/>
      <c r="BX95"/>
      <c r="BY95"/>
    </row>
    <row r="96" spans="8:77" ht="20.100000000000001" customHeight="1" x14ac:dyDescent="0.25">
      <c r="AA96" s="80"/>
      <c r="AB96" s="80"/>
      <c r="AC96" s="80"/>
      <c r="BC96" s="81"/>
      <c r="BD96" s="81"/>
      <c r="BE96" s="81"/>
      <c r="BW96"/>
      <c r="BX96"/>
      <c r="BY96"/>
    </row>
    <row r="97" spans="27:77" ht="20.100000000000001" customHeight="1" x14ac:dyDescent="0.25">
      <c r="AA97" s="80"/>
      <c r="AB97" s="80"/>
      <c r="AC97" s="80"/>
      <c r="BC97" s="81"/>
      <c r="BD97" s="81"/>
      <c r="BE97" s="81"/>
      <c r="BW97"/>
      <c r="BX97"/>
      <c r="BY97"/>
    </row>
    <row r="98" spans="27:77" ht="20.100000000000001" customHeight="1" x14ac:dyDescent="0.25">
      <c r="AA98" s="80"/>
      <c r="AB98" s="80"/>
      <c r="AC98" s="80"/>
      <c r="BC98" s="81"/>
      <c r="BD98" s="81"/>
      <c r="BE98" s="81"/>
      <c r="BW98"/>
      <c r="BX98"/>
      <c r="BY98"/>
    </row>
    <row r="99" spans="27:77" ht="20.100000000000001" customHeight="1" x14ac:dyDescent="0.25"/>
    <row r="100" spans="27:77" ht="20.100000000000001" customHeight="1" x14ac:dyDescent="0.25"/>
    <row r="101" spans="27:77" ht="20.100000000000001" customHeight="1" x14ac:dyDescent="0.25"/>
    <row r="102" spans="27:77" ht="20.100000000000001" customHeight="1" x14ac:dyDescent="0.25"/>
    <row r="103" spans="27:77" ht="20.100000000000001" customHeight="1" x14ac:dyDescent="0.25"/>
    <row r="104" spans="27:77" ht="20.100000000000001" customHeight="1" x14ac:dyDescent="0.25"/>
    <row r="105" spans="27:77" ht="20.100000000000001" customHeight="1" x14ac:dyDescent="0.25"/>
    <row r="106" spans="27:77" ht="20.100000000000001" customHeight="1" x14ac:dyDescent="0.25"/>
    <row r="107" spans="27:77" ht="20.100000000000001" customHeight="1" x14ac:dyDescent="0.25"/>
    <row r="108" spans="27:77" ht="20.100000000000001" customHeight="1" x14ac:dyDescent="0.25"/>
    <row r="109" spans="27:77" ht="20.100000000000001" customHeight="1" x14ac:dyDescent="0.25"/>
    <row r="110" spans="27:77" ht="20.100000000000001" customHeight="1" x14ac:dyDescent="0.25"/>
    <row r="111" spans="27:77" ht="20.100000000000001" customHeight="1" x14ac:dyDescent="0.25"/>
    <row r="112" spans="27:77"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sheetData>
  <sheetProtection algorithmName="SHA-512" hashValue="l+79PwOCKZiqArrtvz2QoJOfJfAhkHajBhbm1S92K6Q8+MxTlPnEncGOgwdW90P4WH29e3ymOmZcVqY/2mgxdg==" saltValue="bNr1cc/kNIqkJv1FUCco7Q==" spinCount="100000" sheet="1" objects="1" scenarios="1"/>
  <mergeCells count="229">
    <mergeCell ref="S2:S16"/>
    <mergeCell ref="U11:V11"/>
    <mergeCell ref="AF24:AP24"/>
    <mergeCell ref="AH43:AI43"/>
    <mergeCell ref="AF44:AG44"/>
    <mergeCell ref="AH44:AI44"/>
    <mergeCell ref="AC16:AD16"/>
    <mergeCell ref="AE16:AF16"/>
    <mergeCell ref="AB43:AC43"/>
    <mergeCell ref="AB44:AC44"/>
    <mergeCell ref="AQ48:AR48"/>
    <mergeCell ref="AE11:AF11"/>
    <mergeCell ref="AC12:AD12"/>
    <mergeCell ref="AE12:AF13"/>
    <mergeCell ref="AC13:AD13"/>
    <mergeCell ref="AC14:AD14"/>
    <mergeCell ref="AE14:AF14"/>
    <mergeCell ref="AC15:AD15"/>
    <mergeCell ref="AE15:AF15"/>
    <mergeCell ref="AL48:AP48"/>
    <mergeCell ref="AQ49:AR49"/>
    <mergeCell ref="T2:T5"/>
    <mergeCell ref="U2:U3"/>
    <mergeCell ref="V2:AG2"/>
    <mergeCell ref="T6:T8"/>
    <mergeCell ref="U6:U8"/>
    <mergeCell ref="V6:AG6"/>
    <mergeCell ref="T9:AG9"/>
    <mergeCell ref="AG10:AG16"/>
    <mergeCell ref="U16:AA16"/>
    <mergeCell ref="AA11:AA15"/>
    <mergeCell ref="W11:X11"/>
    <mergeCell ref="Y11:Z11"/>
    <mergeCell ref="U12:V12"/>
    <mergeCell ref="W12:X12"/>
    <mergeCell ref="Y12:Z12"/>
    <mergeCell ref="U13:V15"/>
    <mergeCell ref="W13:X13"/>
    <mergeCell ref="Y13:Z13"/>
    <mergeCell ref="W14:X14"/>
    <mergeCell ref="Y14:Z14"/>
    <mergeCell ref="W15:X15"/>
    <mergeCell ref="Y15:Z15"/>
    <mergeCell ref="AC11:AD11"/>
    <mergeCell ref="AM51:AN51"/>
    <mergeCell ref="AF46:AK46"/>
    <mergeCell ref="N65:O65"/>
    <mergeCell ref="N64:P64"/>
    <mergeCell ref="H55:S55"/>
    <mergeCell ref="H77:S77"/>
    <mergeCell ref="AG53:AH53"/>
    <mergeCell ref="AG52:AH52"/>
    <mergeCell ref="AH62:AK62"/>
    <mergeCell ref="AL62:AL72"/>
    <mergeCell ref="AM62:AP62"/>
    <mergeCell ref="AH63:AJ63"/>
    <mergeCell ref="AM63:AO63"/>
    <mergeCell ref="AH64:AI64"/>
    <mergeCell ref="AM64:AN64"/>
    <mergeCell ref="AH65:AJ65"/>
    <mergeCell ref="AM65:AO65"/>
    <mergeCell ref="AH66:AI66"/>
    <mergeCell ref="AM66:AN66"/>
    <mergeCell ref="AH67:AK67"/>
    <mergeCell ref="AF76:AQ76"/>
    <mergeCell ref="AF55:AQ55"/>
    <mergeCell ref="AF61:AG75"/>
    <mergeCell ref="AF60:AQ60"/>
    <mergeCell ref="AQ61:AQ75"/>
    <mergeCell ref="AM70:AN70"/>
    <mergeCell ref="AH70:AI70"/>
    <mergeCell ref="U57:AD57"/>
    <mergeCell ref="AJ78:AK78"/>
    <mergeCell ref="AM78:AN78"/>
    <mergeCell ref="AH74:AH75"/>
    <mergeCell ref="AI74:AJ74"/>
    <mergeCell ref="AK74:AL74"/>
    <mergeCell ref="AI75:AJ75"/>
    <mergeCell ref="AK75:AL75"/>
    <mergeCell ref="AH71:AJ71"/>
    <mergeCell ref="AM71:AO71"/>
    <mergeCell ref="AH72:AI72"/>
    <mergeCell ref="AM72:AN72"/>
    <mergeCell ref="AH73:AP73"/>
    <mergeCell ref="AM67:AP67"/>
    <mergeCell ref="AH69:AJ69"/>
    <mergeCell ref="AM69:AO69"/>
    <mergeCell ref="AJ58:AQ59"/>
    <mergeCell ref="AF78:AH78"/>
    <mergeCell ref="B39:C39"/>
    <mergeCell ref="D39:E39"/>
    <mergeCell ref="Q32:AB32"/>
    <mergeCell ref="S28:S29"/>
    <mergeCell ref="T28:U28"/>
    <mergeCell ref="E28:F28"/>
    <mergeCell ref="E26:F26"/>
    <mergeCell ref="Z62:AD62"/>
    <mergeCell ref="Z61:AD61"/>
    <mergeCell ref="Z60:AD60"/>
    <mergeCell ref="Z59:AD59"/>
    <mergeCell ref="D38:E38"/>
    <mergeCell ref="C48:D48"/>
    <mergeCell ref="H43:L43"/>
    <mergeCell ref="I46:J46"/>
    <mergeCell ref="R47:S47"/>
    <mergeCell ref="R48:S48"/>
    <mergeCell ref="Q41:V41"/>
    <mergeCell ref="B41:G41"/>
    <mergeCell ref="B32:M32"/>
    <mergeCell ref="B33:C33"/>
    <mergeCell ref="E33:H33"/>
    <mergeCell ref="J33:M33"/>
    <mergeCell ref="Y33:AB33"/>
    <mergeCell ref="O79:P79"/>
    <mergeCell ref="AK33:AL33"/>
    <mergeCell ref="Z63:AD63"/>
    <mergeCell ref="I66:L66"/>
    <mergeCell ref="N66:Q66"/>
    <mergeCell ref="I63:J63"/>
    <mergeCell ref="N63:O63"/>
    <mergeCell ref="I61:L61"/>
    <mergeCell ref="N61:Q61"/>
    <mergeCell ref="I62:K62"/>
    <mergeCell ref="N62:P62"/>
    <mergeCell ref="I71:J71"/>
    <mergeCell ref="N71:O71"/>
    <mergeCell ref="I72:Q72"/>
    <mergeCell ref="J73:K73"/>
    <mergeCell ref="L73:M73"/>
    <mergeCell ref="M61:M71"/>
    <mergeCell ref="I68:K68"/>
    <mergeCell ref="N68:P68"/>
    <mergeCell ref="I69:J69"/>
    <mergeCell ref="W43:AA43"/>
    <mergeCell ref="X46:Y46"/>
    <mergeCell ref="R60:S76"/>
    <mergeCell ref="AF35:AI35"/>
    <mergeCell ref="N69:O69"/>
    <mergeCell ref="I70:K70"/>
    <mergeCell ref="N70:P70"/>
    <mergeCell ref="Z58:AB58"/>
    <mergeCell ref="L79:M79"/>
    <mergeCell ref="D30:G30"/>
    <mergeCell ref="D25:J25"/>
    <mergeCell ref="I64:K64"/>
    <mergeCell ref="I65:J65"/>
    <mergeCell ref="J74:K74"/>
    <mergeCell ref="L74:M74"/>
    <mergeCell ref="I73:I74"/>
    <mergeCell ref="I75:I76"/>
    <mergeCell ref="J75:K75"/>
    <mergeCell ref="L75:M75"/>
    <mergeCell ref="J76:K76"/>
    <mergeCell ref="L76:M76"/>
    <mergeCell ref="D26:D27"/>
    <mergeCell ref="H79:J79"/>
    <mergeCell ref="S26:S27"/>
    <mergeCell ref="T26:U26"/>
    <mergeCell ref="C47:D47"/>
    <mergeCell ref="H60:H76"/>
    <mergeCell ref="M43:N43"/>
    <mergeCell ref="C2:J2"/>
    <mergeCell ref="C7:J7"/>
    <mergeCell ref="D24:J24"/>
    <mergeCell ref="S24:Y24"/>
    <mergeCell ref="C14:F14"/>
    <mergeCell ref="C13:G13"/>
    <mergeCell ref="L58:S59"/>
    <mergeCell ref="H59:K59"/>
    <mergeCell ref="E9:E10"/>
    <mergeCell ref="F9:I10"/>
    <mergeCell ref="J9:K10"/>
    <mergeCell ref="D22:F22"/>
    <mergeCell ref="C18:F18"/>
    <mergeCell ref="E19:F19"/>
    <mergeCell ref="C19:D19"/>
    <mergeCell ref="D20:F20"/>
    <mergeCell ref="D21:F21"/>
    <mergeCell ref="C15:E15"/>
    <mergeCell ref="M44:N44"/>
    <mergeCell ref="W25:Y25"/>
    <mergeCell ref="S30:V30"/>
    <mergeCell ref="D28:D29"/>
    <mergeCell ref="Q33:R33"/>
    <mergeCell ref="T33:W33"/>
    <mergeCell ref="S38:T38"/>
    <mergeCell ref="Q39:R39"/>
    <mergeCell ref="S39:T39"/>
    <mergeCell ref="AF37:AQ37"/>
    <mergeCell ref="AF38:AG38"/>
    <mergeCell ref="AI38:AL38"/>
    <mergeCell ref="AN38:AQ38"/>
    <mergeCell ref="AF25:AP25"/>
    <mergeCell ref="AL31:AO32"/>
    <mergeCell ref="AJ31:AK31"/>
    <mergeCell ref="AF30:AH30"/>
    <mergeCell ref="AI30:AK30"/>
    <mergeCell ref="AL30:AO30"/>
    <mergeCell ref="AF31:AH31"/>
    <mergeCell ref="AM26:AO26"/>
    <mergeCell ref="AJ26:AK26"/>
    <mergeCell ref="N84:P84"/>
    <mergeCell ref="H85:M85"/>
    <mergeCell ref="J80:K80"/>
    <mergeCell ref="M80:N80"/>
    <mergeCell ref="AF80:AH80"/>
    <mergeCell ref="AJ80:AJ82"/>
    <mergeCell ref="AK80:AK82"/>
    <mergeCell ref="AL80:AN80"/>
    <mergeCell ref="AP80:AP82"/>
    <mergeCell ref="H81:J81"/>
    <mergeCell ref="L81:L83"/>
    <mergeCell ref="M81:M83"/>
    <mergeCell ref="N81:P81"/>
    <mergeCell ref="R81:R83"/>
    <mergeCell ref="S81:S83"/>
    <mergeCell ref="H82:J82"/>
    <mergeCell ref="N82:P82"/>
    <mergeCell ref="H83:J83"/>
    <mergeCell ref="N83:P83"/>
    <mergeCell ref="AQ80:AQ82"/>
    <mergeCell ref="AF81:AH81"/>
    <mergeCell ref="AL81:AN81"/>
    <mergeCell ref="AF82:AH82"/>
    <mergeCell ref="AL82:AN82"/>
    <mergeCell ref="AL83:AN83"/>
    <mergeCell ref="AF84:AK84"/>
    <mergeCell ref="AH79:AI79"/>
    <mergeCell ref="AK79:AL79"/>
  </mergeCell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بار محوری تنها</vt:lpstr>
      <vt:lpstr>بار محوری خارج از مرکز و خمش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sahargahan</dc:creator>
  <cp:lastModifiedBy>sahargahan</cp:lastModifiedBy>
  <dcterms:created xsi:type="dcterms:W3CDTF">2016-12-07T17:20:38Z</dcterms:created>
  <dcterms:modified xsi:type="dcterms:W3CDTF">2017-01-08T14:25:46Z</dcterms:modified>
</cp:coreProperties>
</file>